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 tabRatio="703"/>
  </bookViews>
  <sheets>
    <sheet name="Лист1" sheetId="1" r:id="rId1"/>
    <sheet name="табл.1" sheetId="3" r:id="rId2"/>
    <sheet name="табл.2" sheetId="4" r:id="rId3"/>
    <sheet name="табл.3" sheetId="5" r:id="rId4"/>
    <sheet name="табл.4" sheetId="6" r:id="rId5"/>
    <sheet name="табл.5" sheetId="7" r:id="rId6"/>
    <sheet name="табл.6" sheetId="8" r:id="rId7"/>
    <sheet name="табл.6 (2)" sheetId="9" r:id="rId8"/>
    <sheet name="табл.6 (3)" sheetId="10" r:id="rId9"/>
    <sheet name="табл.6 (4)" sheetId="11" r:id="rId10"/>
    <sheet name="табл.6 (5)" sheetId="12" r:id="rId11"/>
    <sheet name="табл.6 (6)" sheetId="13" r:id="rId12"/>
  </sheets>
  <definedNames>
    <definedName name="_xlnm.Print_Area" localSheetId="1">табл.1!$A$1:$I$115</definedName>
    <definedName name="_xlnm.Print_Area" localSheetId="2">табл.2!$A$1:$H$48</definedName>
    <definedName name="_xlnm.Print_Area" localSheetId="3">табл.3!$A$1:$H$95</definedName>
    <definedName name="_xlnm.Print_Area" localSheetId="6">табл.6!$A$1:$F$49</definedName>
    <definedName name="_xlnm.Print_Area" localSheetId="7">'табл.6 (2)'!$A$1:$M$10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5"/>
  <c r="F41" l="1"/>
  <c r="F47"/>
  <c r="D43" l="1"/>
  <c r="E43"/>
  <c r="F43"/>
  <c r="C43"/>
  <c r="G49"/>
  <c r="H49"/>
  <c r="D49"/>
  <c r="E49"/>
  <c r="F49"/>
  <c r="C49"/>
  <c r="A49"/>
  <c r="E12"/>
  <c r="F12"/>
  <c r="C12"/>
  <c r="G13"/>
  <c r="H13"/>
  <c r="G14"/>
  <c r="H14"/>
  <c r="G15"/>
  <c r="H15"/>
  <c r="D13"/>
  <c r="D12" s="1"/>
  <c r="D14"/>
  <c r="D92" i="3"/>
  <c r="E45" l="1"/>
  <c r="F45"/>
  <c r="C45"/>
  <c r="G54"/>
  <c r="H54"/>
  <c r="D54"/>
  <c r="F9" i="5"/>
  <c r="D29" i="8" l="1"/>
  <c r="C29"/>
  <c r="B37" l="1"/>
  <c r="B36"/>
  <c r="C36"/>
  <c r="D36"/>
  <c r="C37"/>
  <c r="D37"/>
  <c r="F20" i="5"/>
  <c r="L43" l="1"/>
  <c r="L38"/>
  <c r="L29"/>
  <c r="L21"/>
  <c r="L8"/>
  <c r="L45" i="4"/>
  <c r="L37"/>
  <c r="L32"/>
  <c r="E108" i="1"/>
  <c r="M45" i="3"/>
  <c r="M23"/>
  <c r="M22"/>
  <c r="M18"/>
  <c r="M10"/>
  <c r="M9"/>
  <c r="E108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9"/>
  <c r="J9" i="4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8"/>
  <c r="J9" i="5"/>
  <c r="J10"/>
  <c r="J11"/>
  <c r="J12"/>
  <c r="J15"/>
  <c r="J17"/>
  <c r="J18"/>
  <c r="J19"/>
  <c r="J20"/>
  <c r="J22"/>
  <c r="J23"/>
  <c r="J24"/>
  <c r="J26"/>
  <c r="J27"/>
  <c r="J28"/>
  <c r="J30"/>
  <c r="J31"/>
  <c r="J32"/>
  <c r="J33"/>
  <c r="J34"/>
  <c r="J36"/>
  <c r="J37"/>
  <c r="J39"/>
  <c r="J40"/>
  <c r="J41"/>
  <c r="J42"/>
  <c r="J44"/>
  <c r="J45"/>
  <c r="J46"/>
  <c r="J47"/>
  <c r="J48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90"/>
  <c r="J91"/>
  <c r="J23" i="8"/>
  <c r="H18" l="1"/>
  <c r="H19"/>
  <c r="H20"/>
  <c r="H21"/>
  <c r="H22"/>
  <c r="H24"/>
  <c r="H25"/>
  <c r="H26"/>
  <c r="H27"/>
  <c r="H28"/>
  <c r="M10" i="12" l="1"/>
  <c r="N10"/>
  <c r="Q10"/>
  <c r="R10"/>
  <c r="S10"/>
  <c r="T10"/>
  <c r="U10" s="1"/>
  <c r="I10"/>
  <c r="J10"/>
  <c r="I11"/>
  <c r="J11"/>
  <c r="M11"/>
  <c r="N11"/>
  <c r="Q11"/>
  <c r="R11"/>
  <c r="S11"/>
  <c r="T11"/>
  <c r="V11" s="1"/>
  <c r="V10" l="1"/>
  <c r="U11"/>
  <c r="C47" i="5" l="1"/>
  <c r="E47"/>
  <c r="C48"/>
  <c r="E48"/>
  <c r="F48"/>
  <c r="G48" s="1"/>
  <c r="G47"/>
  <c r="H48" l="1"/>
  <c r="H47"/>
  <c r="F45"/>
  <c r="F41" i="4"/>
  <c r="F23" i="3" l="1"/>
  <c r="D53"/>
  <c r="D48" i="5" s="1"/>
  <c r="D52" i="3"/>
  <c r="D47" i="5" s="1"/>
  <c r="D51" i="3"/>
  <c r="G51"/>
  <c r="H51"/>
  <c r="G52"/>
  <c r="H52"/>
  <c r="G53"/>
  <c r="H53"/>
  <c r="D79" i="1" l="1"/>
  <c r="E79"/>
  <c r="F79"/>
  <c r="M109" i="3"/>
  <c r="M108"/>
  <c r="M107"/>
  <c r="M112"/>
  <c r="E25" i="5"/>
  <c r="E23" i="3" l="1"/>
  <c r="I33" i="8" l="1"/>
  <c r="H12"/>
  <c r="I12" s="1"/>
  <c r="H13"/>
  <c r="I13" s="1"/>
  <c r="H14"/>
  <c r="I14" s="1"/>
  <c r="H15"/>
  <c r="I15" s="1"/>
  <c r="H16"/>
  <c r="I16" s="1"/>
  <c r="I18"/>
  <c r="I19"/>
  <c r="I20"/>
  <c r="I21"/>
  <c r="I22"/>
  <c r="I24"/>
  <c r="I25"/>
  <c r="I26"/>
  <c r="I27"/>
  <c r="I28"/>
  <c r="I30"/>
  <c r="I31"/>
  <c r="I34"/>
  <c r="I35"/>
  <c r="G36"/>
  <c r="G37"/>
  <c r="G23"/>
  <c r="H23" s="1"/>
  <c r="G17"/>
  <c r="H17" s="1"/>
  <c r="G11"/>
  <c r="H11" s="1"/>
  <c r="I43" i="5"/>
  <c r="J43" s="1"/>
  <c r="I38"/>
  <c r="J38" s="1"/>
  <c r="I35"/>
  <c r="J35" s="1"/>
  <c r="I25"/>
  <c r="J25" s="1"/>
  <c r="I16"/>
  <c r="J16" s="1"/>
  <c r="I37" i="4"/>
  <c r="I32"/>
  <c r="I22"/>
  <c r="I20"/>
  <c r="J18" i="3"/>
  <c r="E18"/>
  <c r="J110"/>
  <c r="J109"/>
  <c r="J108"/>
  <c r="J107"/>
  <c r="E107"/>
  <c r="K23" i="5"/>
  <c r="E109" i="3"/>
  <c r="K39" i="5" s="1"/>
  <c r="E110" i="3"/>
  <c r="J82"/>
  <c r="J79"/>
  <c r="J67"/>
  <c r="J63"/>
  <c r="J55"/>
  <c r="J45"/>
  <c r="K9" i="4"/>
  <c r="K10"/>
  <c r="K11"/>
  <c r="K12"/>
  <c r="K13"/>
  <c r="K14"/>
  <c r="K15"/>
  <c r="K16"/>
  <c r="K17"/>
  <c r="K18"/>
  <c r="K19"/>
  <c r="K21"/>
  <c r="K23"/>
  <c r="K24"/>
  <c r="K25"/>
  <c r="K26"/>
  <c r="K27"/>
  <c r="K28"/>
  <c r="K29"/>
  <c r="K30"/>
  <c r="K31"/>
  <c r="K33"/>
  <c r="K34"/>
  <c r="K35"/>
  <c r="K36"/>
  <c r="K38"/>
  <c r="K39"/>
  <c r="K41"/>
  <c r="K42"/>
  <c r="K43"/>
  <c r="K44"/>
  <c r="K9" i="5"/>
  <c r="K10"/>
  <c r="K11"/>
  <c r="K12"/>
  <c r="K15"/>
  <c r="K17"/>
  <c r="K18"/>
  <c r="K19"/>
  <c r="K20"/>
  <c r="K22"/>
  <c r="K24"/>
  <c r="K26"/>
  <c r="K27"/>
  <c r="K28"/>
  <c r="K30"/>
  <c r="K31"/>
  <c r="K32"/>
  <c r="K33"/>
  <c r="K34"/>
  <c r="K36"/>
  <c r="K37"/>
  <c r="K40"/>
  <c r="K41"/>
  <c r="K42"/>
  <c r="K44"/>
  <c r="K45"/>
  <c r="K46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90"/>
  <c r="K91"/>
  <c r="L11" i="3"/>
  <c r="L12"/>
  <c r="L13"/>
  <c r="L14"/>
  <c r="L15"/>
  <c r="L16"/>
  <c r="L17"/>
  <c r="L19"/>
  <c r="L20"/>
  <c r="L21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6"/>
  <c r="L47"/>
  <c r="L48"/>
  <c r="L49"/>
  <c r="L50"/>
  <c r="L56"/>
  <c r="L57"/>
  <c r="L58"/>
  <c r="L59"/>
  <c r="L60"/>
  <c r="L61"/>
  <c r="L62"/>
  <c r="L64"/>
  <c r="L65"/>
  <c r="L66"/>
  <c r="L68"/>
  <c r="L69"/>
  <c r="L70"/>
  <c r="L71"/>
  <c r="L72"/>
  <c r="L73"/>
  <c r="L75"/>
  <c r="L76"/>
  <c r="L77"/>
  <c r="L78"/>
  <c r="L80"/>
  <c r="L81"/>
  <c r="L83"/>
  <c r="L84"/>
  <c r="L86"/>
  <c r="L87"/>
  <c r="L88"/>
  <c r="L89"/>
  <c r="L91"/>
  <c r="L92"/>
  <c r="L95"/>
  <c r="L96"/>
  <c r="L99"/>
  <c r="L100"/>
  <c r="L101"/>
  <c r="L102"/>
  <c r="L104"/>
  <c r="L105"/>
  <c r="L106"/>
  <c r="L107"/>
  <c r="L111"/>
  <c r="L9"/>
  <c r="K40" i="4" l="1"/>
  <c r="J93" i="3"/>
  <c r="L18"/>
  <c r="J10"/>
  <c r="J23"/>
  <c r="I45" i="4"/>
  <c r="E112" i="3"/>
  <c r="L110"/>
  <c r="J112"/>
  <c r="I8" i="5"/>
  <c r="J8" s="1"/>
  <c r="L109" i="3"/>
  <c r="L108"/>
  <c r="G29" i="8"/>
  <c r="I29" i="5"/>
  <c r="J29" s="1"/>
  <c r="J94" i="3"/>
  <c r="J98"/>
  <c r="I37" i="8"/>
  <c r="I36"/>
  <c r="J22" i="3" l="1"/>
  <c r="L112"/>
  <c r="I21" i="5"/>
  <c r="J21" s="1"/>
  <c r="C32" i="8"/>
  <c r="I32" s="1"/>
  <c r="J74" i="3" l="1"/>
  <c r="I50" i="5"/>
  <c r="J50" s="1"/>
  <c r="E23" i="7"/>
  <c r="F23"/>
  <c r="D23"/>
  <c r="E21"/>
  <c r="D131" i="1" s="1"/>
  <c r="F21" i="7"/>
  <c r="E131" i="1" s="1"/>
  <c r="D21" i="7"/>
  <c r="E30"/>
  <c r="D132" i="1" s="1"/>
  <c r="F30" i="7"/>
  <c r="G30"/>
  <c r="C135" i="1"/>
  <c r="D135"/>
  <c r="D30" i="7"/>
  <c r="C132" i="1" s="1"/>
  <c r="E132"/>
  <c r="C131"/>
  <c r="F69"/>
  <c r="F70"/>
  <c r="F75"/>
  <c r="C70"/>
  <c r="C75"/>
  <c r="C69"/>
  <c r="E63"/>
  <c r="F63"/>
  <c r="H63"/>
  <c r="D64"/>
  <c r="E64"/>
  <c r="F64"/>
  <c r="G64"/>
  <c r="H64"/>
  <c r="C64"/>
  <c r="H62"/>
  <c r="C63"/>
  <c r="H57"/>
  <c r="H46"/>
  <c r="E37"/>
  <c r="F37"/>
  <c r="E38"/>
  <c r="F38"/>
  <c r="G38"/>
  <c r="H38"/>
  <c r="C38"/>
  <c r="E34"/>
  <c r="F34"/>
  <c r="E35"/>
  <c r="F35"/>
  <c r="G35"/>
  <c r="H35"/>
  <c r="E36"/>
  <c r="F36"/>
  <c r="G36"/>
  <c r="H36"/>
  <c r="C34"/>
  <c r="C35"/>
  <c r="C36"/>
  <c r="C37"/>
  <c r="E30"/>
  <c r="F30"/>
  <c r="C30"/>
  <c r="G158"/>
  <c r="H158"/>
  <c r="G159"/>
  <c r="H159"/>
  <c r="H80"/>
  <c r="H90"/>
  <c r="C104"/>
  <c r="E104"/>
  <c r="C107"/>
  <c r="E107"/>
  <c r="C108"/>
  <c r="C110"/>
  <c r="D110"/>
  <c r="E110"/>
  <c r="C111"/>
  <c r="D111"/>
  <c r="E111"/>
  <c r="C112"/>
  <c r="E112"/>
  <c r="G107"/>
  <c r="H107"/>
  <c r="H109"/>
  <c r="G110"/>
  <c r="H110"/>
  <c r="G111"/>
  <c r="H111"/>
  <c r="G112"/>
  <c r="H112"/>
  <c r="H113"/>
  <c r="F112"/>
  <c r="F111"/>
  <c r="F110"/>
  <c r="F107"/>
  <c r="F108"/>
  <c r="C118"/>
  <c r="C124" s="1"/>
  <c r="C122" s="1"/>
  <c r="D118"/>
  <c r="D115" s="1"/>
  <c r="E118"/>
  <c r="E115" s="1"/>
  <c r="F118"/>
  <c r="F124" s="1"/>
  <c r="F122" s="1"/>
  <c r="E135"/>
  <c r="F165"/>
  <c r="F166"/>
  <c r="E165"/>
  <c r="E166"/>
  <c r="E167"/>
  <c r="E158"/>
  <c r="F158"/>
  <c r="E159"/>
  <c r="F159"/>
  <c r="E160"/>
  <c r="F160"/>
  <c r="E161"/>
  <c r="F161"/>
  <c r="E162"/>
  <c r="F162"/>
  <c r="G41" i="4"/>
  <c r="H39"/>
  <c r="G39"/>
  <c r="H36"/>
  <c r="G36"/>
  <c r="H33"/>
  <c r="G33"/>
  <c r="G9" i="5"/>
  <c r="H9"/>
  <c r="G12"/>
  <c r="G108" i="1" s="1"/>
  <c r="H12" i="5"/>
  <c r="H108" i="1" s="1"/>
  <c r="G20" i="5"/>
  <c r="H20"/>
  <c r="G22"/>
  <c r="H22"/>
  <c r="D91"/>
  <c r="D112" i="1" s="1"/>
  <c r="D90" i="5"/>
  <c r="D107" i="1" s="1"/>
  <c r="C16" i="5"/>
  <c r="C8" s="1"/>
  <c r="C25"/>
  <c r="D42"/>
  <c r="D36"/>
  <c r="D37"/>
  <c r="D33"/>
  <c r="D32"/>
  <c r="D31"/>
  <c r="D30"/>
  <c r="D28"/>
  <c r="D27"/>
  <c r="D26"/>
  <c r="D24"/>
  <c r="D22"/>
  <c r="D20"/>
  <c r="D19"/>
  <c r="D18"/>
  <c r="D17"/>
  <c r="D15"/>
  <c r="D10"/>
  <c r="D11"/>
  <c r="D108" i="1"/>
  <c r="D9" i="5"/>
  <c r="F25"/>
  <c r="K43"/>
  <c r="E38"/>
  <c r="F46"/>
  <c r="D46" s="1"/>
  <c r="H45"/>
  <c r="F44"/>
  <c r="H41"/>
  <c r="F34"/>
  <c r="H34" s="1"/>
  <c r="F16"/>
  <c r="F8" s="1"/>
  <c r="D39" i="4"/>
  <c r="D41"/>
  <c r="D38"/>
  <c r="C37"/>
  <c r="C101" i="1" s="1"/>
  <c r="D34" i="4"/>
  <c r="D35"/>
  <c r="D36"/>
  <c r="D33"/>
  <c r="C32"/>
  <c r="C100" i="1" s="1"/>
  <c r="C22" i="4"/>
  <c r="E22"/>
  <c r="K22" s="1"/>
  <c r="F32"/>
  <c r="F100" i="1" s="1"/>
  <c r="H44" i="5" l="1"/>
  <c r="C115" i="1"/>
  <c r="D28" i="7" s="1"/>
  <c r="J85" i="3"/>
  <c r="D25" i="5"/>
  <c r="D124" i="1"/>
  <c r="D122" s="1"/>
  <c r="D16" i="5"/>
  <c r="D8" s="1"/>
  <c r="C45" i="4"/>
  <c r="C105" i="1" s="1"/>
  <c r="F115"/>
  <c r="G28" i="7" s="1"/>
  <c r="K38" i="5"/>
  <c r="G46"/>
  <c r="I89"/>
  <c r="J89" s="1"/>
  <c r="C92" i="1"/>
  <c r="D34" i="5"/>
  <c r="G34"/>
  <c r="D32" i="4"/>
  <c r="D100" i="1" s="1"/>
  <c r="D44" i="5"/>
  <c r="G44"/>
  <c r="D45"/>
  <c r="G45"/>
  <c r="H46"/>
  <c r="G41"/>
  <c r="D41"/>
  <c r="E92" i="1"/>
  <c r="F28" i="7"/>
  <c r="E124" i="1"/>
  <c r="E122" s="1"/>
  <c r="D111" i="3"/>
  <c r="D75" i="1" s="1"/>
  <c r="D106" i="3"/>
  <c r="D70" i="1" s="1"/>
  <c r="D105" i="3"/>
  <c r="D69" i="1" s="1"/>
  <c r="C107" i="3"/>
  <c r="C71" i="1" s="1"/>
  <c r="C108" i="3"/>
  <c r="C72" i="1" s="1"/>
  <c r="C109" i="3"/>
  <c r="C73" i="1" s="1"/>
  <c r="C110" i="3"/>
  <c r="C74" i="1" s="1"/>
  <c r="D26" i="7" s="1"/>
  <c r="D91" i="3"/>
  <c r="D63" i="1" s="1"/>
  <c r="D79" i="3"/>
  <c r="E79"/>
  <c r="L79" s="1"/>
  <c r="F79"/>
  <c r="D82"/>
  <c r="E82"/>
  <c r="L82" s="1"/>
  <c r="F82"/>
  <c r="C82"/>
  <c r="C79"/>
  <c r="D67"/>
  <c r="E67"/>
  <c r="L67" s="1"/>
  <c r="F67"/>
  <c r="C67"/>
  <c r="E63"/>
  <c r="F63"/>
  <c r="C63"/>
  <c r="C93" s="1"/>
  <c r="C65" i="1" s="1"/>
  <c r="D66" i="3"/>
  <c r="D63" s="1"/>
  <c r="D55"/>
  <c r="E55"/>
  <c r="L55" s="1"/>
  <c r="F55"/>
  <c r="C55"/>
  <c r="D50"/>
  <c r="D49"/>
  <c r="D48"/>
  <c r="D47"/>
  <c r="D46"/>
  <c r="D43"/>
  <c r="D42"/>
  <c r="D41"/>
  <c r="D40"/>
  <c r="D39"/>
  <c r="D38"/>
  <c r="D37"/>
  <c r="D36"/>
  <c r="D35"/>
  <c r="D34"/>
  <c r="D33"/>
  <c r="D32"/>
  <c r="D31"/>
  <c r="D30"/>
  <c r="D29"/>
  <c r="D28"/>
  <c r="D38" i="1" s="1"/>
  <c r="D27" i="3"/>
  <c r="D37" i="1" s="1"/>
  <c r="D26" i="3"/>
  <c r="D36" i="1" s="1"/>
  <c r="D25" i="3"/>
  <c r="D35" i="1" s="1"/>
  <c r="D24" i="3"/>
  <c r="D21"/>
  <c r="D20"/>
  <c r="D19"/>
  <c r="D12"/>
  <c r="D13"/>
  <c r="D14"/>
  <c r="D15"/>
  <c r="D16"/>
  <c r="D17"/>
  <c r="D110" s="1"/>
  <c r="D11"/>
  <c r="C18"/>
  <c r="C10" s="1"/>
  <c r="C31" i="1" s="1"/>
  <c r="D9" i="3"/>
  <c r="D30" i="1" s="1"/>
  <c r="E28" i="7" s="1"/>
  <c r="G91" i="3"/>
  <c r="G63" i="1" s="1"/>
  <c r="H66" i="3"/>
  <c r="G66"/>
  <c r="H50"/>
  <c r="G50"/>
  <c r="H49"/>
  <c r="G49"/>
  <c r="H48"/>
  <c r="G48"/>
  <c r="H47"/>
  <c r="G47"/>
  <c r="H46"/>
  <c r="G46"/>
  <c r="G44"/>
  <c r="H43"/>
  <c r="G43"/>
  <c r="H42"/>
  <c r="G42"/>
  <c r="H39"/>
  <c r="G39"/>
  <c r="H38"/>
  <c r="G38"/>
  <c r="H32"/>
  <c r="G32"/>
  <c r="H31"/>
  <c r="G31"/>
  <c r="H30"/>
  <c r="G30"/>
  <c r="H29"/>
  <c r="G29"/>
  <c r="H27"/>
  <c r="H37" i="1" s="1"/>
  <c r="G27" i="3"/>
  <c r="G37" i="1" s="1"/>
  <c r="H24" i="3"/>
  <c r="H34" i="1" s="1"/>
  <c r="G24" i="3"/>
  <c r="G34" i="1" s="1"/>
  <c r="H21" i="3"/>
  <c r="G21"/>
  <c r="H20"/>
  <c r="G20"/>
  <c r="H19"/>
  <c r="G19"/>
  <c r="H17"/>
  <c r="G17"/>
  <c r="H16"/>
  <c r="G16"/>
  <c r="H15"/>
  <c r="G15"/>
  <c r="H14"/>
  <c r="G14"/>
  <c r="H13"/>
  <c r="G13"/>
  <c r="H12"/>
  <c r="G12"/>
  <c r="H11"/>
  <c r="G11"/>
  <c r="H9"/>
  <c r="H30" i="1" s="1"/>
  <c r="G9" i="3"/>
  <c r="G30" i="1" s="1"/>
  <c r="D45" i="3" l="1"/>
  <c r="D23" s="1"/>
  <c r="C98"/>
  <c r="J97"/>
  <c r="J90"/>
  <c r="C112"/>
  <c r="C76" i="1" s="1"/>
  <c r="D34"/>
  <c r="C23" i="3"/>
  <c r="C94" s="1"/>
  <c r="C66" i="1" s="1"/>
  <c r="E93" i="3"/>
  <c r="L93" s="1"/>
  <c r="L63"/>
  <c r="C22"/>
  <c r="G63"/>
  <c r="I92" i="5"/>
  <c r="J92" s="1"/>
  <c r="D107" i="3"/>
  <c r="D71" i="1" s="1"/>
  <c r="D108" i="3"/>
  <c r="D72" i="1" s="1"/>
  <c r="D109" i="3"/>
  <c r="D73" i="1" s="1"/>
  <c r="D18" i="3"/>
  <c r="D10" s="1"/>
  <c r="F93"/>
  <c r="F65" i="1" s="1"/>
  <c r="H63" i="3"/>
  <c r="D93"/>
  <c r="D65" i="1" s="1"/>
  <c r="G122"/>
  <c r="H122"/>
  <c r="D74"/>
  <c r="E26" i="7" s="1"/>
  <c r="D98" i="3"/>
  <c r="J103" l="1"/>
  <c r="C33" i="1"/>
  <c r="E65"/>
  <c r="D33"/>
  <c r="C32"/>
  <c r="D8" i="7" s="1"/>
  <c r="C74" i="3"/>
  <c r="D112"/>
  <c r="D76" i="1" s="1"/>
  <c r="G93" i="3"/>
  <c r="G65" i="1" s="1"/>
  <c r="H93" i="3"/>
  <c r="H65" i="1" s="1"/>
  <c r="D22" i="3"/>
  <c r="D31" i="1"/>
  <c r="D94" i="3"/>
  <c r="D66" i="1" s="1"/>
  <c r="F110" i="3"/>
  <c r="F107"/>
  <c r="F109"/>
  <c r="F40" i="4" s="1"/>
  <c r="F108" i="3"/>
  <c r="C46" i="1" l="1"/>
  <c r="C97" i="3"/>
  <c r="C103" s="1"/>
  <c r="C47" i="1" s="1"/>
  <c r="C85" i="3"/>
  <c r="F71" i="1"/>
  <c r="F72"/>
  <c r="F112" i="3"/>
  <c r="F76" i="1" s="1"/>
  <c r="F73"/>
  <c r="F74"/>
  <c r="G26" i="7" s="1"/>
  <c r="D32" i="1"/>
  <c r="E8" i="7" s="1"/>
  <c r="D74" i="3"/>
  <c r="F98"/>
  <c r="C90" l="1"/>
  <c r="C57" i="1"/>
  <c r="D19" i="7"/>
  <c r="D10"/>
  <c r="C48" i="1" s="1"/>
  <c r="F104"/>
  <c r="F37" i="4"/>
  <c r="G40"/>
  <c r="G104" i="1" s="1"/>
  <c r="D40" i="4"/>
  <c r="H40"/>
  <c r="H104" i="1" s="1"/>
  <c r="F39" i="5"/>
  <c r="D46" i="1"/>
  <c r="D85" i="3"/>
  <c r="D97"/>
  <c r="D103" s="1"/>
  <c r="D47" i="1" s="1"/>
  <c r="C8" i="4" l="1"/>
  <c r="C80" i="1"/>
  <c r="C62"/>
  <c r="H39" i="5"/>
  <c r="G39"/>
  <c r="D39"/>
  <c r="F101" i="1"/>
  <c r="D37" i="4"/>
  <c r="D104" i="1"/>
  <c r="D90" i="3"/>
  <c r="D57" i="1"/>
  <c r="E19" i="7"/>
  <c r="E10"/>
  <c r="D48" i="1" s="1"/>
  <c r="F18" i="3"/>
  <c r="F10" l="1"/>
  <c r="F31" i="1" s="1"/>
  <c r="F33"/>
  <c r="D12" i="7"/>
  <c r="C129" i="1" s="1"/>
  <c r="D16" i="7"/>
  <c r="C128" i="1" s="1"/>
  <c r="D14" i="7"/>
  <c r="C130" i="1" s="1"/>
  <c r="C20" i="4"/>
  <c r="C90" i="1" s="1"/>
  <c r="D101"/>
  <c r="D62"/>
  <c r="D80"/>
  <c r="D8" i="4"/>
  <c r="F22" i="3" l="1"/>
  <c r="F32" i="1" s="1"/>
  <c r="G8" i="7" s="1"/>
  <c r="F94" i="3"/>
  <c r="F66" i="1" s="1"/>
  <c r="D20" i="4"/>
  <c r="D90" i="1" s="1"/>
  <c r="E12" i="7"/>
  <c r="D129" i="1" s="1"/>
  <c r="E16" i="7"/>
  <c r="D128" i="1" s="1"/>
  <c r="E14" i="7"/>
  <c r="D130" i="1" s="1"/>
  <c r="E6" i="9"/>
  <c r="G6" s="1"/>
  <c r="B6"/>
  <c r="D6" s="1"/>
  <c r="F74" i="3" l="1"/>
  <c r="F97" s="1"/>
  <c r="F103" s="1"/>
  <c r="F47" i="1" s="1"/>
  <c r="G10" i="7" s="1"/>
  <c r="F48" i="1" s="1"/>
  <c r="E10" i="3"/>
  <c r="E37" i="4"/>
  <c r="K37" s="1"/>
  <c r="E32"/>
  <c r="C35" i="5"/>
  <c r="D35"/>
  <c r="F35"/>
  <c r="E35"/>
  <c r="C38"/>
  <c r="E16"/>
  <c r="G11" i="6"/>
  <c r="G118" i="1" s="1"/>
  <c r="H11" i="6"/>
  <c r="H118" i="1" s="1"/>
  <c r="D7" i="6"/>
  <c r="E7"/>
  <c r="F7"/>
  <c r="C7"/>
  <c r="F14" i="8"/>
  <c r="H160" i="1" s="1"/>
  <c r="F15" i="8"/>
  <c r="H161" i="1" s="1"/>
  <c r="F16" i="8"/>
  <c r="H162" i="1" s="1"/>
  <c r="F20" i="8"/>
  <c r="F21"/>
  <c r="F22"/>
  <c r="F26"/>
  <c r="F27"/>
  <c r="F28"/>
  <c r="F30"/>
  <c r="H165" i="1" s="1"/>
  <c r="F31" i="8"/>
  <c r="H166" i="1" s="1"/>
  <c r="F33" i="8"/>
  <c r="F34"/>
  <c r="F35"/>
  <c r="E14"/>
  <c r="G160" i="1" s="1"/>
  <c r="E15" i="8"/>
  <c r="G161" i="1" s="1"/>
  <c r="E16" i="8"/>
  <c r="G162" i="1" s="1"/>
  <c r="E20" i="8"/>
  <c r="E21"/>
  <c r="E22"/>
  <c r="E26"/>
  <c r="E27"/>
  <c r="E28"/>
  <c r="E30"/>
  <c r="G165" i="1" s="1"/>
  <c r="E31" i="8"/>
  <c r="G166" i="1" s="1"/>
  <c r="E33" i="8"/>
  <c r="E34"/>
  <c r="E35"/>
  <c r="F169" i="1"/>
  <c r="E169"/>
  <c r="F168"/>
  <c r="E168"/>
  <c r="D32" i="8"/>
  <c r="F167" i="1" s="1"/>
  <c r="B32" i="8"/>
  <c r="B29" s="1"/>
  <c r="D23"/>
  <c r="C23"/>
  <c r="B23"/>
  <c r="D17"/>
  <c r="C17"/>
  <c r="I17" s="1"/>
  <c r="B17"/>
  <c r="C11"/>
  <c r="I11" s="1"/>
  <c r="D11"/>
  <c r="F157" i="1" s="1"/>
  <c r="B11" i="8"/>
  <c r="E10" i="9"/>
  <c r="B10"/>
  <c r="L6"/>
  <c r="M6"/>
  <c r="K6"/>
  <c r="K10" s="1"/>
  <c r="J6"/>
  <c r="I6"/>
  <c r="H6"/>
  <c r="H10" s="1"/>
  <c r="L10" i="3" l="1"/>
  <c r="E22"/>
  <c r="F46" i="1"/>
  <c r="F85" i="3"/>
  <c r="F90" s="1"/>
  <c r="F62" i="1" s="1"/>
  <c r="G16" i="7" s="1"/>
  <c r="G7" i="6"/>
  <c r="E163" i="1"/>
  <c r="I29" i="8"/>
  <c r="I23"/>
  <c r="H23" i="3"/>
  <c r="H33" i="1" s="1"/>
  <c r="L45" i="3"/>
  <c r="K35" i="5"/>
  <c r="E29"/>
  <c r="K29" s="1"/>
  <c r="K25"/>
  <c r="H7" i="6"/>
  <c r="E8" i="5"/>
  <c r="K8" s="1"/>
  <c r="K16"/>
  <c r="E45" i="4"/>
  <c r="K45" s="1"/>
  <c r="K32"/>
  <c r="E31" i="1"/>
  <c r="H43" i="5"/>
  <c r="G43"/>
  <c r="E101" i="1"/>
  <c r="H37" i="4"/>
  <c r="H101" i="1" s="1"/>
  <c r="G37" i="4"/>
  <c r="G101" i="1" s="1"/>
  <c r="G32" i="4"/>
  <c r="G100" i="1" s="1"/>
  <c r="E100"/>
  <c r="H32" i="4"/>
  <c r="H100" i="1" s="1"/>
  <c r="E17" i="8"/>
  <c r="F163" i="1"/>
  <c r="F164"/>
  <c r="F37" i="8"/>
  <c r="H169" i="1" s="1"/>
  <c r="F23" i="8"/>
  <c r="H163" i="1" s="1"/>
  <c r="H124"/>
  <c r="H115"/>
  <c r="G124"/>
  <c r="G115"/>
  <c r="E157"/>
  <c r="E11" i="8"/>
  <c r="G157" i="1" s="1"/>
  <c r="F80"/>
  <c r="C29" i="5"/>
  <c r="C21" s="1"/>
  <c r="C50" s="1"/>
  <c r="G10" i="3"/>
  <c r="G31" i="1" s="1"/>
  <c r="H10" i="3"/>
  <c r="H31" i="1" s="1"/>
  <c r="L22" i="3"/>
  <c r="G18"/>
  <c r="H18"/>
  <c r="H45"/>
  <c r="G45"/>
  <c r="E23" i="8"/>
  <c r="G163" i="1" s="1"/>
  <c r="F17" i="8"/>
  <c r="F32"/>
  <c r="H167" i="1" s="1"/>
  <c r="E32" i="8"/>
  <c r="G167" i="1" s="1"/>
  <c r="E37" i="8"/>
  <c r="G169" i="1" s="1"/>
  <c r="F36" i="8"/>
  <c r="H168" i="1" s="1"/>
  <c r="E36" i="8"/>
  <c r="G168" i="1" s="1"/>
  <c r="F11" i="8"/>
  <c r="H157" i="1" s="1"/>
  <c r="F57" l="1"/>
  <c r="F8" i="4"/>
  <c r="F20" s="1"/>
  <c r="F90" i="1" s="1"/>
  <c r="E105"/>
  <c r="H8" i="5"/>
  <c r="E164" i="1"/>
  <c r="G8" i="5"/>
  <c r="E21"/>
  <c r="K21" s="1"/>
  <c r="E33" i="1"/>
  <c r="L23" i="3"/>
  <c r="E94"/>
  <c r="L94" s="1"/>
  <c r="C89" i="5"/>
  <c r="C92" s="1"/>
  <c r="C113" i="1" s="1"/>
  <c r="C109"/>
  <c r="G23" i="3"/>
  <c r="G33" i="1" s="1"/>
  <c r="E32"/>
  <c r="F8" i="7" s="1"/>
  <c r="E74" i="3"/>
  <c r="L74" s="1"/>
  <c r="E29" i="8"/>
  <c r="G164" i="1" s="1"/>
  <c r="G22" i="3"/>
  <c r="G32" i="1" s="1"/>
  <c r="H22" i="3"/>
  <c r="H32" i="1" s="1"/>
  <c r="F29" i="8"/>
  <c r="H164" i="1" s="1"/>
  <c r="I7" i="11"/>
  <c r="I6"/>
  <c r="H7"/>
  <c r="H6"/>
  <c r="F9"/>
  <c r="G9"/>
  <c r="E9"/>
  <c r="S8" i="12"/>
  <c r="T8"/>
  <c r="S9"/>
  <c r="T9"/>
  <c r="S12"/>
  <c r="T12"/>
  <c r="T7"/>
  <c r="S7"/>
  <c r="R12"/>
  <c r="Q12"/>
  <c r="R9"/>
  <c r="Q9"/>
  <c r="R8"/>
  <c r="Q8"/>
  <c r="R7"/>
  <c r="Q7"/>
  <c r="N12"/>
  <c r="M12"/>
  <c r="N9"/>
  <c r="M9"/>
  <c r="N8"/>
  <c r="M8"/>
  <c r="N7"/>
  <c r="M7"/>
  <c r="J12"/>
  <c r="I12"/>
  <c r="J9"/>
  <c r="I9"/>
  <c r="J8"/>
  <c r="I8"/>
  <c r="J7"/>
  <c r="I7"/>
  <c r="P13"/>
  <c r="O13"/>
  <c r="L13"/>
  <c r="K13"/>
  <c r="H13"/>
  <c r="G13"/>
  <c r="D13"/>
  <c r="C13"/>
  <c r="E66" i="1" l="1"/>
  <c r="E50" i="5"/>
  <c r="G94" i="3"/>
  <c r="G66" i="1" s="1"/>
  <c r="H94" i="3"/>
  <c r="H66" i="1" s="1"/>
  <c r="V12" i="12"/>
  <c r="V8"/>
  <c r="E46" i="1"/>
  <c r="E85" i="3"/>
  <c r="L85" s="1"/>
  <c r="G74"/>
  <c r="G46" i="1" s="1"/>
  <c r="I9" i="11"/>
  <c r="S13" i="12"/>
  <c r="V9"/>
  <c r="J13"/>
  <c r="U8"/>
  <c r="H9" i="11"/>
  <c r="U9" i="12"/>
  <c r="T13"/>
  <c r="U12"/>
  <c r="R13"/>
  <c r="Q13"/>
  <c r="N13"/>
  <c r="M13"/>
  <c r="V7"/>
  <c r="U7"/>
  <c r="I13"/>
  <c r="K50" i="5" l="1"/>
  <c r="E89"/>
  <c r="E109" i="1"/>
  <c r="G85" i="3"/>
  <c r="G57" i="1" s="1"/>
  <c r="E57"/>
  <c r="E90" i="3"/>
  <c r="L90" s="1"/>
  <c r="E97"/>
  <c r="L97" s="1"/>
  <c r="V13" i="12"/>
  <c r="U13"/>
  <c r="K89" i="5" l="1"/>
  <c r="E92"/>
  <c r="E62" i="1"/>
  <c r="E80"/>
  <c r="E8" i="4"/>
  <c r="G97" i="3"/>
  <c r="G90"/>
  <c r="G62" i="1" s="1"/>
  <c r="K92" i="5" l="1"/>
  <c r="E113" i="1"/>
  <c r="E20" i="4"/>
  <c r="K20" s="1"/>
  <c r="K8"/>
  <c r="F16" i="7"/>
  <c r="E128" i="1" s="1"/>
  <c r="F12" i="7"/>
  <c r="E129" i="1" s="1"/>
  <c r="F14" i="7"/>
  <c r="E130" i="1" s="1"/>
  <c r="G8" i="4"/>
  <c r="G20" s="1"/>
  <c r="G90" i="1" s="1"/>
  <c r="G80"/>
  <c r="E72"/>
  <c r="E76"/>
  <c r="H112" i="3"/>
  <c r="H76" i="1" s="1"/>
  <c r="E71"/>
  <c r="G107" i="3"/>
  <c r="G71" i="1" s="1"/>
  <c r="E75"/>
  <c r="E69"/>
  <c r="G105" i="3"/>
  <c r="G69" i="1" s="1"/>
  <c r="E70"/>
  <c r="E73"/>
  <c r="H108" i="3"/>
  <c r="H72" i="1" s="1"/>
  <c r="H111" i="3"/>
  <c r="H75" i="1" s="1"/>
  <c r="H106" i="3"/>
  <c r="H70" i="1" s="1"/>
  <c r="H110" i="3"/>
  <c r="H74" i="1" s="1"/>
  <c r="H109" i="3"/>
  <c r="H73" i="1" s="1"/>
  <c r="G112" i="3"/>
  <c r="G76" i="1" s="1"/>
  <c r="H105" i="3"/>
  <c r="H69" i="1" s="1"/>
  <c r="H107" i="3"/>
  <c r="H71" i="1" s="1"/>
  <c r="E74"/>
  <c r="F26" i="7" s="1"/>
  <c r="G108" i="3"/>
  <c r="G72" i="1" s="1"/>
  <c r="G111" i="3"/>
  <c r="G75" i="1" s="1"/>
  <c r="G106" i="3"/>
  <c r="G70" i="1" s="1"/>
  <c r="G110" i="3"/>
  <c r="G74" i="1" s="1"/>
  <c r="E98" i="3"/>
  <c r="L98" s="1"/>
  <c r="E103"/>
  <c r="G109"/>
  <c r="G73" i="1" s="1"/>
  <c r="G98" i="3" l="1"/>
  <c r="E90" i="1"/>
  <c r="H98" i="3"/>
  <c r="G103"/>
  <c r="G47" i="1" s="1"/>
  <c r="L103" i="3"/>
  <c r="E47" i="1"/>
  <c r="H103" i="3"/>
  <c r="H47" i="1" s="1"/>
  <c r="F19" i="7" l="1"/>
  <c r="F10"/>
  <c r="E48" i="1" s="1"/>
  <c r="H31" i="4"/>
  <c r="G31"/>
  <c r="F22"/>
  <c r="H22" s="1"/>
  <c r="H92" i="1" s="1"/>
  <c r="D31" i="4"/>
  <c r="D22" s="1"/>
  <c r="F40" i="5"/>
  <c r="G40" l="1"/>
  <c r="F23"/>
  <c r="H23" s="1"/>
  <c r="D92" i="1"/>
  <c r="D45" i="4"/>
  <c r="D105" i="1" s="1"/>
  <c r="D40" i="5"/>
  <c r="D38" s="1"/>
  <c r="D29" s="1"/>
  <c r="F92" i="1"/>
  <c r="H40" i="5"/>
  <c r="F38"/>
  <c r="G22" i="4"/>
  <c r="G92" i="1" s="1"/>
  <c r="F45" i="4"/>
  <c r="G23" i="5" l="1"/>
  <c r="D23"/>
  <c r="F105" i="1"/>
  <c r="G45" i="4"/>
  <c r="G105" i="1" s="1"/>
  <c r="H45" i="4"/>
  <c r="H105" i="1" s="1"/>
  <c r="D21" i="5"/>
  <c r="D50" s="1"/>
  <c r="H38"/>
  <c r="G38"/>
  <c r="F29"/>
  <c r="H29" l="1"/>
  <c r="G29"/>
  <c r="F21"/>
  <c r="D109" i="1"/>
  <c r="D89" i="5"/>
  <c r="D92" s="1"/>
  <c r="D113" i="1" s="1"/>
  <c r="G21" i="5" l="1"/>
  <c r="H21"/>
  <c r="F50"/>
  <c r="F109" i="1" l="1"/>
  <c r="F89" i="5"/>
  <c r="G50"/>
  <c r="G109" i="1" s="1"/>
  <c r="F92" i="5" l="1"/>
  <c r="D139" i="1" s="1"/>
  <c r="G89" i="5"/>
  <c r="F113" i="1" l="1"/>
  <c r="G92" i="5"/>
  <c r="G113" i="1" s="1"/>
</calcChain>
</file>

<file path=xl/sharedStrings.xml><?xml version="1.0" encoding="utf-8"?>
<sst xmlns="http://schemas.openxmlformats.org/spreadsheetml/2006/main" count="2186" uniqueCount="538">
  <si>
    <t>Додаток 3</t>
  </si>
  <si>
    <t xml:space="preserve">до Порядку складання, затвердження </t>
  </si>
  <si>
    <t xml:space="preserve">та контролю виконання фінансового плану </t>
  </si>
  <si>
    <t>суб'єкта господарювання державного сектору економіки</t>
  </si>
  <si>
    <t>(пункт 11)</t>
  </si>
  <si>
    <t xml:space="preserve">Підприємство  </t>
  </si>
  <si>
    <t>КНП "Зеленодольський центр ПМСД" ЗМР</t>
  </si>
  <si>
    <t xml:space="preserve">Організаційно-правова форма </t>
  </si>
  <si>
    <t>150 Комунальне підприємство</t>
  </si>
  <si>
    <t>Територія</t>
  </si>
  <si>
    <t>отг.м.Зеленодольськ</t>
  </si>
  <si>
    <r>
      <t xml:space="preserve">Орган державного управління  </t>
    </r>
    <r>
      <rPr>
        <b/>
        <i/>
        <sz val="14"/>
        <rFont val="Times New Roman"/>
        <family val="1"/>
        <charset val="204"/>
      </rPr>
      <t xml:space="preserve"> </t>
    </r>
  </si>
  <si>
    <t xml:space="preserve">Галузь     </t>
  </si>
  <si>
    <t xml:space="preserve">Охорона здоров'я </t>
  </si>
  <si>
    <t xml:space="preserve">Вид економічної діяльності    </t>
  </si>
  <si>
    <t>Діяльність лікарняних закладів</t>
  </si>
  <si>
    <t>Одиниця виміру, тис. грн</t>
  </si>
  <si>
    <t>тис.грн.</t>
  </si>
  <si>
    <t>Форма власності</t>
  </si>
  <si>
    <t>Комунальна власність</t>
  </si>
  <si>
    <t>Середньооблікова кількість штатних працівників</t>
  </si>
  <si>
    <t xml:space="preserve">Місцезнаходження  </t>
  </si>
  <si>
    <t>м.Зеленодольськ, вул.Спортивна,2</t>
  </si>
  <si>
    <t xml:space="preserve">Телефон </t>
  </si>
  <si>
    <t>тел.(05655) 62-4-96, факс (05655) 62-9-96</t>
  </si>
  <si>
    <t xml:space="preserve">Прізвище та ініціали керівника  </t>
  </si>
  <si>
    <t>Піскунова Л.В.</t>
  </si>
  <si>
    <t>Стандарти звітності П(с)БОУ</t>
  </si>
  <si>
    <t>Стандарти звітності МСФЗ</t>
  </si>
  <si>
    <t>Рік</t>
  </si>
  <si>
    <t>Коди</t>
  </si>
  <si>
    <t xml:space="preserve">за ЄДРПОУ </t>
  </si>
  <si>
    <t>за КОПФГ</t>
  </si>
  <si>
    <t>за КОАТУУ</t>
  </si>
  <si>
    <t>за СПОДУ</t>
  </si>
  <si>
    <t>за ЗКГНГ</t>
  </si>
  <si>
    <t xml:space="preserve">за  КВЕД  </t>
  </si>
  <si>
    <t>86.1</t>
  </si>
  <si>
    <t>ЗВІТ</t>
  </si>
  <si>
    <t>про виконання фінансового плану</t>
  </si>
  <si>
    <t>Основні фінансові показники</t>
  </si>
  <si>
    <t>(квартал, рік)</t>
  </si>
  <si>
    <t>Найменування показника</t>
  </si>
  <si>
    <t>Код рядка</t>
  </si>
  <si>
    <t>Факт наростаючим підсумком з початку року</t>
  </si>
  <si>
    <t>Звітний період (рік)</t>
  </si>
  <si>
    <t>минулий рік</t>
  </si>
  <si>
    <t>поточний рік</t>
  </si>
  <si>
    <t>план</t>
  </si>
  <si>
    <t>факт</t>
  </si>
  <si>
    <t>відхилення, +/-</t>
  </si>
  <si>
    <t>виконання, %</t>
  </si>
  <si>
    <t>I. Формування фінансових результатів</t>
  </si>
  <si>
    <t>Чистий дохід від реалізації продукції (товарів, робіт, послуг)</t>
  </si>
  <si>
    <t>-</t>
  </si>
  <si>
    <t>Собівартість реалізованої продукції (товарів, робіт, послуг)</t>
  </si>
  <si>
    <t>Валовий прибуток/збиток</t>
  </si>
  <si>
    <t>Адміністративні витрати, у тому числі:</t>
  </si>
  <si>
    <t>витрати, пов'язані з використанням власних службових автомобілів</t>
  </si>
  <si>
    <t>( )</t>
  </si>
  <si>
    <t>витрати на оренду 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</si>
  <si>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</si>
  <si>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</si>
  <si>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</si>
  <si>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t>Витрати на збут</t>
  </si>
  <si>
    <t>Інші операційні доходи, у тому числі:</t>
  </si>
  <si>
    <t>курсові різниці</t>
  </si>
  <si>
    <t>нетипові операційні доходи</t>
  </si>
  <si>
    <t>Інші операційні витрати, у тому числі:</t>
  </si>
  <si>
    <t>нетипові операційні витрати</t>
  </si>
  <si>
    <t>Фінансовий результат від операційної діяльності</t>
  </si>
  <si>
    <t>EBITDA</t>
  </si>
  <si>
    <t>Рентабельність EBITDA</t>
  </si>
  <si>
    <t>Дохід від участі в капіталі</t>
  </si>
  <si>
    <t>Втрати від участі в капіталі</t>
  </si>
  <si>
    <t>Інші фінансові доходи</t>
  </si>
  <si>
    <t>Фінансові витрати</t>
  </si>
  <si>
    <t>Інші доходи, усього, у тому числі:</t>
  </si>
  <si>
    <t>Інші витрати, усього, у тому числі:</t>
  </si>
  <si>
    <t>Фінансовий результат до оподаткування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</si>
  <si>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</si>
  <si>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</si>
  <si>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</si>
  <si>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</si>
  <si>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Чистий фінансовий результат</t>
  </si>
  <si>
    <t xml:space="preserve">Прибуток </t>
  </si>
  <si>
    <t>Збиток</t>
  </si>
  <si>
    <t>Усього доходів</t>
  </si>
  <si>
    <t>Усього витрат</t>
  </si>
  <si>
    <t>Неконтрольована частка</t>
  </si>
  <si>
    <t>Елементи операційних витрат</t>
  </si>
  <si>
    <t xml:space="preserve"> </t>
  </si>
  <si>
    <t>Матеріальні витрати, у тому числі:</t>
  </si>
  <si>
    <t>витрати на сировину та основні матеріали</t>
  </si>
  <si>
    <t>витрати на паливо та енергію</t>
  </si>
  <si>
    <t>Витрати на оплату праці</t>
  </si>
  <si>
    <t>Відрахування на соціальні заходи</t>
  </si>
  <si>
    <t>Амортизація</t>
  </si>
  <si>
    <t>Інші операційні витрати</t>
  </si>
  <si>
    <t>Усього</t>
  </si>
  <si>
    <t>II. Розрахунки з бюджетом</t>
  </si>
  <si>
    <t>Розподіл чистого прибутку</t>
  </si>
  <si>
    <t>Залишок нерозподіленого прибутку (непокритого збитку) на початок звітного періоду</t>
  </si>
  <si>
    <t>Нараховані до сплати відрахування частини чистого прибутку, усього, у тому числі:</t>
  </si>
  <si>
    <t>державними унітарними підприємствами та їх об'єднаннями до державного бюджету</t>
  </si>
  <si>
    <t>господарськими товариствами, у статутному капіталі яких більше 50 відсотків акцій (часток) належать державі, на виплату дивідендів</t>
  </si>
  <si>
    <t>у тому числі на державну частку</t>
  </si>
  <si>
    <t>2012/1</t>
  </si>
  <si>
    <t>Перенесено з додаткового капіталу</t>
  </si>
  <si>
    <t>Розвиток виробництва</t>
  </si>
  <si>
    <t>Резервний фонд</t>
  </si>
  <si>
    <t>Інші фонди</t>
  </si>
  <si>
    <t>Інші цілі</t>
  </si>
  <si>
    <t>Залишок нерозподіленого прибутку (непокритого збитку) на кінець звітного періоду</t>
  </si>
  <si>
    <t>Сплата податків, зборів та інших обов'язкових платежів</t>
  </si>
  <si>
    <t>Сплата податків та зборів до Державного бюджету України (податкові платежі), усього, у тому числі:</t>
  </si>
  <si>
    <t>податок на прибуток підприємств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</si>
  <si>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</si>
  <si>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</si>
  <si>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акцизний податок</t>
  </si>
  <si>
    <t>відрахування частини чистого прибутку державними унітарними підприємствами та їх об'єднаннями</t>
  </si>
  <si>
    <t>рентна плата за транспортування</t>
  </si>
  <si>
    <t>рентна плата за користування надрами</t>
  </si>
  <si>
    <t>Сплата податків та зборів до місцевих бюджетів (податкові платежі)</t>
  </si>
  <si>
    <t>Інші податки, збори та платежі на користь держави,</t>
  </si>
  <si>
    <t>усього, у тому числі:</t>
  </si>
  <si>
    <t>відрахування частини чистого прибутку господарськими товариствами, у статутному капіталі яких більше 50 відсотків акцій (часток) належать державі, на виплату дивідендів на державну частку</t>
  </si>
  <si>
    <t xml:space="preserve">єдиний внесок на загальнообов'язкове державне соціальне страхування </t>
  </si>
  <si>
    <t>Усього виплат на користь держави</t>
  </si>
  <si>
    <t>III. Рух грошових коштів</t>
  </si>
  <si>
    <t>Залишок коштів на початок періоду</t>
  </si>
  <si>
    <t>Цільове фінансування</t>
  </si>
  <si>
    <t>Чистий рух коштів від операційної діяльності</t>
  </si>
  <si>
    <t xml:space="preserve">Чистий рух коштів від інвестиційної діяльності </t>
  </si>
  <si>
    <t>Чистий рух коштів від фінансової діяльності</t>
  </si>
  <si>
    <t xml:space="preserve">Вплив зміни валютних курсів на залишок коштів </t>
  </si>
  <si>
    <t>Залишок коштів на кінець періоду</t>
  </si>
  <si>
    <t>IV. Капітальні інвестиції</t>
  </si>
  <si>
    <t>Капітальні інвестиції, усього, у тому числі: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</si>
  <si>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</si>
  <si>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</si>
  <si>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</si>
  <si>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</si>
  <si>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</si>
  <si>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</si>
  <si>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Джерела капітальних інвестицій, усього, у тому числі:</t>
  </si>
  <si>
    <t>залучені кредитні кошти</t>
  </si>
  <si>
    <t>4000/1</t>
  </si>
  <si>
    <t>бюджетне фінансування</t>
  </si>
  <si>
    <t>4000/2</t>
  </si>
  <si>
    <t>власні кошти</t>
  </si>
  <si>
    <t>4000/3</t>
  </si>
  <si>
    <t>інші джерела</t>
  </si>
  <si>
    <t>4000/4</t>
  </si>
  <si>
    <t>V. Коефіцієнтний аналіз</t>
  </si>
  <si>
    <t>Рентабельність діяльності</t>
  </si>
  <si>
    <t>x</t>
  </si>
  <si>
    <t>Рентабельність активів</t>
  </si>
  <si>
    <t>Рентабельність власного капіталу</t>
  </si>
  <si>
    <t>Коефіцієнт фінансової стійкості</t>
  </si>
  <si>
    <t>Коефіцієнт зносу основних засобів</t>
  </si>
  <si>
    <t>VI. Звіт про фінансовий стан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</si>
  <si>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</si>
  <si>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</si>
  <si>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</si>
  <si>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</si>
  <si>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</si>
  <si>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Гроші та їх еквіваленти</t>
  </si>
  <si>
    <t>Усього активи</t>
  </si>
  <si>
    <t>Довгострокові зобов'язання і забезпечення</t>
  </si>
  <si>
    <t>Поточні зобов'язання і забезпечення</t>
  </si>
  <si>
    <t>Усього зобов'язання і забезпечення</t>
  </si>
  <si>
    <t>У тому числі державні гранти і субсидії</t>
  </si>
  <si>
    <t>У тому числі фінансові запозичення</t>
  </si>
  <si>
    <t>Власний капітал</t>
  </si>
  <si>
    <t>VII. Кредитна політика</t>
  </si>
  <si>
    <t>Отримано залучених коштів, усього, у тому числі:</t>
  </si>
  <si>
    <t>довгострокові зобов'язання</t>
  </si>
  <si>
    <t>короткострокові зобов'язання</t>
  </si>
  <si>
    <t>інші фінансові зобов'язання</t>
  </si>
  <si>
    <t>Повернено залучених коштів, усього, у тому числі:</t>
  </si>
  <si>
    <t>VIII. Дані про персонал та витрати на оплату праці</t>
  </si>
  <si>
    <r>
      <t xml:space="preserve">Середня кількість працівників </t>
    </r>
    <r>
      <rPr>
        <sz val="12"/>
        <color theme="1"/>
        <rFont val="Times New Roman"/>
        <family val="1"/>
        <charset val="204"/>
      </rPr>
      <t>(штатних працівників, зовнішніх сумісників та працівників, які працюють за цивільно-правовими договорами),</t>
    </r>
    <r>
      <rPr>
        <b/>
        <sz val="12"/>
        <color theme="1"/>
        <rFont val="Times New Roman"/>
        <family val="1"/>
        <charset val="204"/>
      </rPr>
      <t xml:space="preserve"> у тому числі:</t>
    </r>
  </si>
  <si>
    <t>члени наглядової ради</t>
  </si>
  <si>
    <t>члени правління</t>
  </si>
  <si>
    <t>керівник</t>
  </si>
  <si>
    <t>адміністративно-управлінський персонал</t>
  </si>
  <si>
    <t>працівники</t>
  </si>
  <si>
    <t>Середньомісячні витрати на оплату праці одного працівника (гривень), усього, у тому числі:</t>
  </si>
  <si>
    <t>член наглядової ради</t>
  </si>
  <si>
    <t>член правління</t>
  </si>
  <si>
    <t>адміністративно-управлінський працівник</t>
  </si>
  <si>
    <t>працівник</t>
  </si>
  <si>
    <t>Головний лікар</t>
  </si>
  <si>
    <t>(посада)</t>
  </si>
  <si>
    <t>(підпис)</t>
  </si>
  <si>
    <t>(ініціали, прізвище)</t>
  </si>
  <si>
    <t>Л.В.Піскунова</t>
  </si>
  <si>
    <t>пояснення та обґрунтування відхилення від запланованого рівня доходів/витрат</t>
  </si>
  <si>
    <t>Доходи і витрати (деталізація)</t>
  </si>
  <si>
    <t>Витрати на сировину та основні матеріали</t>
  </si>
  <si>
    <t xml:space="preserve">Витрати на паливо </t>
  </si>
  <si>
    <t>Витрати, що здійснюються для підтримання об'єкта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</si>
  <si>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</si>
  <si>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Інші витрати (розшифрувати)</t>
  </si>
  <si>
    <t>Валовий прибуток (збиток)</t>
  </si>
  <si>
    <t>витрати на службові відрядження</t>
  </si>
  <si>
    <t>витрати на зв'язок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</si>
  <si>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</si>
  <si>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</si>
  <si>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</si>
  <si>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</si>
  <si>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</si>
  <si>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</si>
  <si>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</si>
  <si>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консультаційні та інформаційні послуги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</si>
  <si>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</si>
  <si>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</si>
  <si>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</si>
  <si>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</si>
  <si>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утримання основних фондів, інших необоротних активів загальногосподарського використання, у тому числі:</t>
  </si>
  <si>
    <t>витрати на поліпшення основних фондів</t>
  </si>
  <si>
    <t>1050/1</t>
  </si>
  <si>
    <t>Витрати на збут, у тому числі:</t>
  </si>
  <si>
    <t>транспортні витрати</t>
  </si>
  <si>
    <t>витрати на зберігання та упаковку</t>
  </si>
  <si>
    <t>амортизація основних засобів і нематеріальних активів</t>
  </si>
  <si>
    <t>витрати на рекламу</t>
  </si>
  <si>
    <t>інші витрати на збут (розшифрувати)</t>
  </si>
  <si>
    <t>(   )</t>
  </si>
  <si>
    <t>Інші операційні доходи, усього, у тому числі:</t>
  </si>
  <si>
    <t>нетипові операційні доходи (розшифрувати)</t>
  </si>
  <si>
    <t>Інші операційні витрати, усього, у тому числі:</t>
  </si>
  <si>
    <t>нетипові операційні витрати (розшифрувати)</t>
  </si>
  <si>
    <t>витрати на благодійну допомогу</t>
  </si>
  <si>
    <t>відрахування до резерву сумнівних боргів</t>
  </si>
  <si>
    <t>відрахування до недержавних пенсійних фондів</t>
  </si>
  <si>
    <t>інші операційні витрати (розшифрувати)</t>
  </si>
  <si>
    <t>Дохід від участі в капіталі (розшифрувати)</t>
  </si>
  <si>
    <t>Втрати від участі в капіталі (розшифрувати)</t>
  </si>
  <si>
    <t>Інші фінансові доходи (розшифрувати)</t>
  </si>
  <si>
    <t>Фінансові витрати (розшифрувати)</t>
  </si>
  <si>
    <t>інші доходи (розшифрувати)</t>
  </si>
  <si>
    <t>інші витрати (розшифрувати)</t>
  </si>
  <si>
    <t>Чистий фінансовий результат, у тому числі:</t>
  </si>
  <si>
    <t xml:space="preserve">прибуток </t>
  </si>
  <si>
    <t>збиток</t>
  </si>
  <si>
    <t>Розрахунок показника EBITDA</t>
  </si>
  <si>
    <t>Фінансовий результат від операційної діяльності, рядок 1100</t>
  </si>
  <si>
    <t>плюс амортизація, рядок 1430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</si>
  <si>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</si>
  <si>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</si>
  <si>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</si>
  <si>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</si>
  <si>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t>Таблиця 1</t>
  </si>
  <si>
    <t>у тому числі за основними видами діяльності за КВЕД</t>
  </si>
  <si>
    <t>Інші фонди (розшифрувати)</t>
  </si>
  <si>
    <t>Інші цілі (розшифрувати)</t>
  </si>
  <si>
    <t>податок на доходи фізичних осіб</t>
  </si>
  <si>
    <t>Сплата податків та зборів до місцевих бюджетів (податкові платежі), усього, у тому числі:</t>
  </si>
  <si>
    <t>земельний податок</t>
  </si>
  <si>
    <t>орендна плата</t>
  </si>
  <si>
    <t>Інші податки, збори та платежі на користь держави, усього, у тому числі:</t>
  </si>
  <si>
    <t>митні платежі</t>
  </si>
  <si>
    <t>Погашення податкового боргу,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</si>
  <si>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</si>
  <si>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інші (штрафи, пені, неустойки) (розшифрувати)</t>
  </si>
  <si>
    <t>Таблиця 2</t>
  </si>
  <si>
    <t>I. Рух коштів у результаті операційної діяльності</t>
  </si>
  <si>
    <t>Надходження грошових коштів від операційної діяльності</t>
  </si>
  <si>
    <t>Виручка від реалізації продукції (товарів, робіт, послуг)</t>
  </si>
  <si>
    <t>Повернення податків і зборів, у тому числі:</t>
  </si>
  <si>
    <t>податку на додану вартість</t>
  </si>
  <si>
    <t>Цільове фінансування (розшифрувати)</t>
  </si>
  <si>
    <t>Надходження авансів від покупців і замовників</t>
  </si>
  <si>
    <t>Отримання коштів за короткостроковими зобов'язаннями, у тому числі:</t>
  </si>
  <si>
    <t>кредити</t>
  </si>
  <si>
    <t xml:space="preserve">позики </t>
  </si>
  <si>
    <t>облігації</t>
  </si>
  <si>
    <t xml:space="preserve">Інші надходження (розшифрувати) </t>
  </si>
  <si>
    <t>Витрачання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</si>
  <si>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</si>
  <si>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</si>
  <si>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Повернення коштів за короткостроковими зобов'язаннями, у тому числі:</t>
  </si>
  <si>
    <t>Зобов'язання з податків, зборів та інших обов'язкових платежів, у тому числі:</t>
  </si>
  <si>
    <t>податок на додану вартість</t>
  </si>
  <si>
    <t>рентна плата</t>
  </si>
  <si>
    <t>інші зобов'язання з податків і зборів (розшифрувати)</t>
  </si>
  <si>
    <t>3156/1</t>
  </si>
  <si>
    <t>3156/2</t>
  </si>
  <si>
    <t>Інші платежі (розшифрувати)</t>
  </si>
  <si>
    <t>Повернення коштів до бюджету</t>
  </si>
  <si>
    <t>Інші витрачання (розшифрувати)</t>
  </si>
  <si>
    <t>II. Рух коштів у результаті інвестиційної діяльності</t>
  </si>
  <si>
    <t>Надходження грошових коштів від інвестиційної діяльності</t>
  </si>
  <si>
    <t>Надходження від реалізації фінансових інвестицій, у тому числі:</t>
  </si>
  <si>
    <t xml:space="preserve">надходження від продажу акцій та облігацій </t>
  </si>
  <si>
    <t xml:space="preserve">Надходження від реалізації необоротних активів </t>
  </si>
  <si>
    <t>Надходження від отриманих відсотків</t>
  </si>
  <si>
    <t>Надходження дивідендів</t>
  </si>
  <si>
    <t>Надходження від деривативів</t>
  </si>
  <si>
    <t>Витрачання грошових коштів від інвестиційної діяльності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</si>
  <si>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</si>
  <si>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</si>
  <si>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 xml:space="preserve">Витрачання на придбання необоротних активів, у тому числі: </t>
  </si>
  <si>
    <t xml:space="preserve">придбання (створення) основних засобів (розшифрувати) </t>
  </si>
  <si>
    <t>3270/1</t>
  </si>
  <si>
    <t xml:space="preserve">капітальне будівництво (розшифрувати) </t>
  </si>
  <si>
    <t>3270/2</t>
  </si>
  <si>
    <t xml:space="preserve">придбання (створення) нематеріальних активів (розшифрувати) </t>
  </si>
  <si>
    <t>3270/3</t>
  </si>
  <si>
    <t>Виплати за деривативами</t>
  </si>
  <si>
    <t>III. Рух коштів у результаті фінансової діяльності</t>
  </si>
  <si>
    <t xml:space="preserve">Надходження грошових коштів від фінансової діяльності </t>
  </si>
  <si>
    <t>Надходження від власного капіталу</t>
  </si>
  <si>
    <t>Отримання коштів за довгостроковими зобов'язаннями, у тому числі:</t>
  </si>
  <si>
    <t>Витрачання грошових коштів від фінансової діяльності</t>
  </si>
  <si>
    <t>Витрачання на викуп власних акцій</t>
  </si>
  <si>
    <t>Повернення коштів за довгостроковими зобов'язаннями, у тому числі:</t>
  </si>
  <si>
    <t>Сплата дивідендів</t>
  </si>
  <si>
    <t>Витрачення на сплату відсотків</t>
  </si>
  <si>
    <t>Витрачення на сплату заборгованості з фінансової оренди</t>
  </si>
  <si>
    <t xml:space="preserve">Чистий рух коштів від фінансової діяльності </t>
  </si>
  <si>
    <t>Чистий рух грошових коштів за звітний період</t>
  </si>
  <si>
    <t xml:space="preserve">Код рядка </t>
  </si>
  <si>
    <t xml:space="preserve">план </t>
  </si>
  <si>
    <t>Капітальні інвестиції, усього,</t>
  </si>
  <si>
    <t>у тому числі:</t>
  </si>
  <si>
    <t xml:space="preserve">- </t>
  </si>
  <si>
    <t>Оптимальне значення</t>
  </si>
  <si>
    <t>Примітки</t>
  </si>
  <si>
    <t>Коефіцієнти рентабельності та прибутковості</t>
  </si>
  <si>
    <t>Валова рентабельність</t>
  </si>
  <si>
    <t>(валовий прибуток, рядок 1020 / чистий дохід від реалізації продукції (товарів, робіт, послуг), рядок 1000) х 100, %</t>
  </si>
  <si>
    <t>Збільшення</t>
  </si>
  <si>
    <t>(EBITDA, рядок 1310 / чистий дохід від реалізації продукції (товарів, робіт, послуг), рядок 1000) х 100, %</t>
  </si>
  <si>
    <t>(чистий фінансовий результат, рядок 1200 / вартість активів, рядок 6020) х 100, %</t>
  </si>
  <si>
    <t>Характеризує ефективність використання активів підприємства</t>
  </si>
  <si>
    <t>(чистий фінансовий результат, рядок 1200 / власний капітал, рядок 6080) х 100, %</t>
  </si>
  <si>
    <t>(чистий фінансовий результат, рядок 1200 / чистий дохід від реалізації продукції (товарів, робіт, послуг), рядок 1000) х 100, %</t>
  </si>
  <si>
    <t>Характеризує ефективність господарської діяльності підприємства</t>
  </si>
  <si>
    <t>Коефіцієнти фінансової стійкості та ліквідності</t>
  </si>
  <si>
    <t>Коефіцієнт відношення боргу до EBITDA</t>
  </si>
  <si>
    <t>(довгострокові зобов'язання, рядок 6030 + поточні зобов'язання, рядок 6040) / EBITDA, рядок 1310</t>
  </si>
  <si>
    <t>(власний капітал, рядок 6080 / (довгострокові зобов'язання, рядок 6030 + поточні зобов'язання, рядок 6040))</t>
  </si>
  <si>
    <t>&gt; 1</t>
  </si>
  <si>
    <t>Характеризує співвідношення власних та позикових коштів і залежність підприємства від зовнішніх фінансових джерел</t>
  </si>
  <si>
    <t>Коефіцієнт поточної ліквідності (покриття)</t>
  </si>
  <si>
    <t>(оборотні активи, рядок 6010 / поточні зобов'язання, рядок 6040)</t>
  </si>
  <si>
    <t>Показує достатність ресурсів підприємства, які може бути використано для погашення його поточних зобов'язань. Нормативним значенням для цього показника є &gt; 1 - 1,5</t>
  </si>
  <si>
    <t>Аналіз капітальних інвестицій</t>
  </si>
  <si>
    <t>Коефіцієнт відношення капітальних інвестицій до амортизації</t>
  </si>
  <si>
    <t>(капітальні інвестиції, рядок 4000 / амортизація, рядок 1430)</t>
  </si>
  <si>
    <t>Коефіцієнт відношення капітальних інвестицій до чистого доходу від реалізації продукції (товарів, робіт, послуг)</t>
  </si>
  <si>
    <t>(капітальні інвестиції, рядок 4000 / чистий дохід від реалізації продукції (товарів, робіт, послуг), рядок 1000)</t>
  </si>
  <si>
    <t>(сума зносу, рядок 6003 / первісна вартість основних засобів, рядок 6002)</t>
  </si>
  <si>
    <t>Зменшення</t>
  </si>
  <si>
    <t>Характеризує інвестиційну політику підприємства</t>
  </si>
  <si>
    <t>Ковенанти / обмежувальні коефіцієнти</t>
  </si>
  <si>
    <t>Інші коефіцієнти / ковенанти, якщо такі передбачені умовами кредитних договорів, із зазначенням банку, валюти та суми зобов'язання на дату останньої звітності, строку погашення. У графі "Оптимальне значення" зазначити граничне значення коефіцієнта</t>
  </si>
  <si>
    <t>Таблиця 3</t>
  </si>
  <si>
    <t>Таблиця 5</t>
  </si>
  <si>
    <t>Таблиця 4</t>
  </si>
  <si>
    <t>III. Рух грошових коштів (за прямим методом)</t>
  </si>
  <si>
    <t>Факт відповідного періоду минулого року</t>
  </si>
  <si>
    <t>План звітного періоду</t>
  </si>
  <si>
    <t>Факт звітного періоду</t>
  </si>
  <si>
    <t>Відхилення, +/- (факт звітного періоду / план звітного періоду)</t>
  </si>
  <si>
    <t>Виконання, % (факт звітного періоду / план звітного періоду)</t>
  </si>
  <si>
    <r>
      <t xml:space="preserve">Середня кількість працівників </t>
    </r>
    <r>
      <rPr>
        <sz val="10"/>
        <color theme="1"/>
        <rFont val="Times New Roman"/>
        <family val="1"/>
        <charset val="204"/>
      </rPr>
      <t>(штатних працівників, зовнішніх сумісників та працівників, які працюють за цивільно-правовими договорами)</t>
    </r>
    <r>
      <rPr>
        <b/>
        <sz val="10"/>
        <color theme="1"/>
        <rFont val="Times New Roman"/>
        <family val="1"/>
        <charset val="204"/>
      </rPr>
      <t>, у тому числі:</t>
    </r>
  </si>
  <si>
    <t>Фонд оплати праці, тис. грн, у тому числі:</t>
  </si>
  <si>
    <t>Витрати на оплату праці, тис. грн, у тому числі:</t>
  </si>
  <si>
    <t>Середньомісячні витрати на оплату праці одного працівника, грн, усього, у тому числі:</t>
  </si>
  <si>
    <t xml:space="preserve">керівник, усього, у тому числі: </t>
  </si>
  <si>
    <t>посадовий оклад</t>
  </si>
  <si>
    <t>преміювання</t>
  </si>
  <si>
    <t xml:space="preserve">інші виплати, передбачені законодавством </t>
  </si>
  <si>
    <t>Таблиця 6</t>
  </si>
  <si>
    <t>Інформація</t>
  </si>
  <si>
    <t>(найменування підприємства)</t>
  </si>
  <si>
    <t>1. Дані про підприємство, персонал та витрати на оплату праці*</t>
  </si>
  <si>
    <t>Загальна інформація про підприємство (резюме)</t>
  </si>
  <si>
    <t>* У разі збільшення витрат на оплату праці у звітному періоді порівняно із запланованими та фактичними витратами відповідного періоду минулого року обов'язково надаються обґрунтування.</t>
  </si>
  <si>
    <t>2. Перелік підприємств, які включені до консолідованого (зведеного) фінансового плану</t>
  </si>
  <si>
    <t>Код за ЄДРПОУ</t>
  </si>
  <si>
    <t>Найменування підприємства</t>
  </si>
  <si>
    <t>Вид діяльності</t>
  </si>
  <si>
    <t>Найменування видів діяльності за КВЕД</t>
  </si>
  <si>
    <t>План</t>
  </si>
  <si>
    <t>Факт</t>
  </si>
  <si>
    <t>Відхилення, +/-</t>
  </si>
  <si>
    <t>Виконання, %</t>
  </si>
  <si>
    <t>чистий дохід від реалізації продукції (товарів, робіт, послуг), тис. грн</t>
  </si>
  <si>
    <t>кількість продукції / наданих послуг, одиниця виміру</t>
  </si>
  <si>
    <t>ціна одиниці (вартість продукції / наданих послуг), грн</t>
  </si>
  <si>
    <t xml:space="preserve">чистий дохід від реалізації продукції (товарів, робіт, послуг) </t>
  </si>
  <si>
    <t xml:space="preserve">кількість продукції / наданих послуг </t>
  </si>
  <si>
    <t>зміна ціни одиниці (вартості продукції / наданих послуг)</t>
  </si>
  <si>
    <t>3. Інформація про бізнес підприємства (код рядка 1000 фінансового плану)</t>
  </si>
  <si>
    <t>Найменування банку</t>
  </si>
  <si>
    <t xml:space="preserve">Вид кредитного продукту та цільове призначення </t>
  </si>
  <si>
    <t xml:space="preserve">Сума, валюта за договорами </t>
  </si>
  <si>
    <t>Процентна ставка</t>
  </si>
  <si>
    <t>Дата видачі / погашення (графік)</t>
  </si>
  <si>
    <t>Заборгованість на останню дату</t>
  </si>
  <si>
    <t>Забезпечення</t>
  </si>
  <si>
    <r>
      <t>x</t>
    </r>
    <r>
      <rPr>
        <sz val="10"/>
        <color theme="1"/>
        <rFont val="Times New Roman"/>
        <family val="1"/>
        <charset val="204"/>
      </rPr>
      <t xml:space="preserve"> </t>
    </r>
  </si>
  <si>
    <t>4. Діючі фінансові зобов'язання підприємства</t>
  </si>
  <si>
    <t>5. Інформація щодо отримання та повернення залучених коштів</t>
  </si>
  <si>
    <t>Зобов'язання</t>
  </si>
  <si>
    <t>Заборгованість за кредитами на початок звітного періоду</t>
  </si>
  <si>
    <t>Отримано залучених коштів за звітний період</t>
  </si>
  <si>
    <t>Повернено залучених коштів за звітний період</t>
  </si>
  <si>
    <t>Заборгованість на кінець звітного періоду</t>
  </si>
  <si>
    <t xml:space="preserve">Довгострокові зобов'язання, усього </t>
  </si>
  <si>
    <t>Короткострокові зобов'язання, усього</t>
  </si>
  <si>
    <r>
      <t>у тому числі:</t>
    </r>
    <r>
      <rPr>
        <i/>
        <sz val="10"/>
        <color theme="1"/>
        <rFont val="Times New Roman"/>
        <family val="1"/>
        <charset val="204"/>
      </rPr>
      <t xml:space="preserve"> </t>
    </r>
  </si>
  <si>
    <t>Інші фінансові зобов'язання, усього</t>
  </si>
  <si>
    <t>№</t>
  </si>
  <si>
    <t>з/п</t>
  </si>
  <si>
    <t>Марка</t>
  </si>
  <si>
    <t>Рік придбання</t>
  </si>
  <si>
    <t>Мета використання</t>
  </si>
  <si>
    <t>Витрати, усього</t>
  </si>
  <si>
    <t>(факт звітного періоду / план звітного періоду)</t>
  </si>
  <si>
    <t>факт відповідного періоду минулого року</t>
  </si>
  <si>
    <t>план звітного періоду</t>
  </si>
  <si>
    <t>факт звітного періоду</t>
  </si>
  <si>
    <t>6. Витрати, пов'язані з використанням власних службових автомобілів (у складі адміністративних витрат, рядок 1031)</t>
  </si>
  <si>
    <t>7. Витрати на оренду службових автомобілів (у складі адміністративних витрат, рядок 1032)</t>
  </si>
  <si>
    <t>Договір</t>
  </si>
  <si>
    <t>Дата початку оренди</t>
  </si>
  <si>
    <t>Найменування об'єкта</t>
  </si>
  <si>
    <t>Залучення кредитних коштів</t>
  </si>
  <si>
    <t>Бюджетне фінансування</t>
  </si>
  <si>
    <t>Інші джерела (розшифрувати)</t>
  </si>
  <si>
    <t>Відсоток</t>
  </si>
  <si>
    <t>8. Джерела капітальних інвестицій</t>
  </si>
  <si>
    <t>тис. грн (без ПДВ)</t>
  </si>
  <si>
    <t xml:space="preserve">Найменування об'єкта </t>
  </si>
  <si>
    <t>Рік початку і закінчення будівництва</t>
  </si>
  <si>
    <t>Загальна кошторисна вартість</t>
  </si>
  <si>
    <t>Первісна балансова вартість введених потужностей на початок звітного періоду</t>
  </si>
  <si>
    <t>Незавершене будівництво на початок звітного періоду</t>
  </si>
  <si>
    <t>Інформація щодо проектно-кошторисної документації (стан розроблення, затвердження, у разі затвердження зазначити суб'єкт управління, яким затверджено, та відповідний документ)</t>
  </si>
  <si>
    <t>Документ, яким затверджений титул будови, із зазначенням суб'єкта управління, який його погодив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</si>
  <si>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</si>
  <si>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</si>
  <si>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</si>
  <si>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кредитні кошти</t>
  </si>
  <si>
    <t>інші джерела (зазначити джерело)</t>
  </si>
  <si>
    <t>9. Капітальне будівництво (рядок 4010 таблиці 4)</t>
  </si>
  <si>
    <t>{Додаток 3 в редакції Наказів Міністерства економічного розвитку і торгівлі № 1394 від 03.11.2015, № 1070 від 31.07.2018}</t>
  </si>
  <si>
    <t>№ з/п</t>
  </si>
  <si>
    <t>ВАЗ-210994-20</t>
  </si>
  <si>
    <t>Тойота</t>
  </si>
  <si>
    <t>86.1 Діяльність лікарняних закладів</t>
  </si>
  <si>
    <t>лікарські відвідування</t>
  </si>
  <si>
    <t xml:space="preserve">Інші надходження (плата за оренду майна) </t>
  </si>
  <si>
    <t>3157/1</t>
  </si>
  <si>
    <t>3157/2</t>
  </si>
  <si>
    <t>3157/3</t>
  </si>
  <si>
    <t xml:space="preserve">єдиний внесок на загальнообов'язкове державне соціальне страхування                      </t>
  </si>
  <si>
    <t>військовий збір</t>
  </si>
  <si>
    <t>податки</t>
  </si>
  <si>
    <t>3170/1</t>
  </si>
  <si>
    <t>3170/2</t>
  </si>
  <si>
    <t>3170/3</t>
  </si>
  <si>
    <t>витрати на соціальне забезпечення (пенсія)</t>
  </si>
  <si>
    <t>інші податки та збори (військовий збір)</t>
  </si>
  <si>
    <t>інші податки та збори (податок за забруднення навколишкього середовища)</t>
  </si>
  <si>
    <t>інші операційні доходи (плата за оренду майна)</t>
  </si>
  <si>
    <t>1051/1</t>
  </si>
  <si>
    <t>1051/2</t>
  </si>
  <si>
    <t>1051/3</t>
  </si>
  <si>
    <t>1051/4</t>
  </si>
  <si>
    <t>1051/5</t>
  </si>
  <si>
    <t>витрати на охоронні послуги</t>
  </si>
  <si>
    <t>банківські послуги</t>
  </si>
  <si>
    <t>витрати на сплату податків</t>
  </si>
  <si>
    <t>інші адміністративні витрати, в тому числі:</t>
  </si>
  <si>
    <t>1018/1</t>
  </si>
  <si>
    <t>1018/2</t>
  </si>
  <si>
    <t>1018/3</t>
  </si>
  <si>
    <t>витрати на соціальне забезпечення (відшкодування вартості лікарських засобів, харчування дітей до року)</t>
  </si>
  <si>
    <t>витрати на лабораторні дослідження</t>
  </si>
  <si>
    <t>витрати на вивіз сміття</t>
  </si>
  <si>
    <t>Витрати на електроенергію, теплопостачання, водопостачання та водовідведення, газопостачання</t>
  </si>
  <si>
    <t>інші податки, збори та платежі (реєстраційний збір)</t>
  </si>
  <si>
    <t>не всі працівники проживали у гуртожитку</t>
  </si>
  <si>
    <t>в зв'язку з коливанням ціни</t>
  </si>
  <si>
    <t>за рахунок зменшення поточних ремонтів медобладнання</t>
  </si>
  <si>
    <t>Власні кошти (кошти НСЗУ)</t>
  </si>
  <si>
    <t>Аналізатор біохімічний напівавтомат</t>
  </si>
  <si>
    <t>Примітки: Посадовий оклад керівника збільшився в зв'язку з отриманням 1 кваліфікаційної категорії в січні місяці 2019 року, а планувався по 2 кваліфікаційній категорії.</t>
  </si>
  <si>
    <t>план рік</t>
  </si>
  <si>
    <t>При введенні в дію чергового кабінету було обраховано кількість виїздів лікаря ЗПСМ на дом до пацієнта у нічний час на рівні денного обслуговування на дому</t>
  </si>
  <si>
    <t>В зв'язку з встановленням тарифу у 2019 році за "зеленим списком" на рівні 2018 року, та застосуванням зменшувальних коефіцієнтів</t>
  </si>
  <si>
    <t xml:space="preserve">В зв'язку зі зменшенням доходів та економія для забезпечення своєчасної  виплати заробітної плати в наступному м-ці </t>
  </si>
  <si>
    <t xml:space="preserve">В зв'язку зі зменшенням доходів </t>
  </si>
  <si>
    <t xml:space="preserve">Нововедення в умови отримання ліцензії на ретгенапарат (необхідно було зробити гігієнічну оцінку умов та характеру праці) </t>
  </si>
  <si>
    <t>Консультування з питань сплати ПДВ комунальними некомерційними підприємствами</t>
  </si>
  <si>
    <t>Планувалося, що в цьому році піде на пенсію 3-тя особа</t>
  </si>
  <si>
    <t xml:space="preserve">за рахунок проведення індексації </t>
  </si>
  <si>
    <t>В зв'язку з встановленням тарифу у 2019 році за "зеленим списком" на рівні 2018 року, та застосуванням зменшувальних коефіцієнтів,а також зростанням цін на матеріали</t>
  </si>
  <si>
    <t>1051/6</t>
  </si>
  <si>
    <t>1051/7</t>
  </si>
  <si>
    <t>1051/8</t>
  </si>
  <si>
    <t>судове рішення</t>
  </si>
  <si>
    <t>проходження медпрацівниками профогляду</t>
  </si>
  <si>
    <t>адміністративний збір</t>
  </si>
  <si>
    <t>3170/4</t>
  </si>
  <si>
    <t>3170/5</t>
  </si>
  <si>
    <t>Ворота</t>
  </si>
  <si>
    <t>Модуль зв'язку</t>
  </si>
  <si>
    <t>Коректор об'єму газу</t>
  </si>
  <si>
    <t>Електрокардіограф триканальний</t>
  </si>
  <si>
    <t>Стерелізатор паровий, 80л.</t>
  </si>
  <si>
    <t>Здача звітності в Департамент охорони здоров'я, колегії (бензин, запчастини)</t>
  </si>
  <si>
    <t>Отримання медикаментів в м.Дніпро (централізоване постачання),  обслуговування в казначействі (запчастини, фільтра, ремонт)</t>
  </si>
  <si>
    <t>план на квартал=план на рік / 3</t>
  </si>
  <si>
    <t>план на квартал=план на рік / 4*3</t>
  </si>
  <si>
    <t>до звіту про виконання фінансового плану за 2019 рік (квартал, рік)</t>
  </si>
  <si>
    <t>за 2019 рік</t>
  </si>
  <si>
    <t>повернення коштів в бюджет</t>
  </si>
  <si>
    <t>1051/9</t>
  </si>
  <si>
    <t>В зв'язку з погодніми умовами</t>
  </si>
  <si>
    <t>так як амортизація основних засобів здійснюється в кінці року, то по плану ставилось сума амортизації малоцінних необоротних матеріальних активів</t>
  </si>
  <si>
    <t>за рахунок економії коштів на оплату комунальних послуг збільшено видатки на відшкодування вартості лікарських засобів та закупівлю молочних сумішей (добавилася 1 дітина)</t>
  </si>
  <si>
    <t>за рахунок щорічного та своєчасного обстеження жінок зменшилась кількість непланових обстеженнь</t>
  </si>
  <si>
    <t>за рахунок проведеного аналізу було переглянуто обсяги вивезення сміття</t>
  </si>
  <si>
    <t>В зв'язку з отриманням ліцензії на роботу рентгенапарату стало необхідно  пройти навчання працівникам флюро та рентген кабінету та в результаті змін в законодавстві повторне навчання працівників (публічні закупівлі та передрейсовий огляг водіїв)</t>
  </si>
  <si>
    <t>За рахунок економії по іншим статтям витрат проведено заміну двох вікон в стоматологічних кабінетах, маніпуляційному та на третьому поверсі встановлено нові металопластикові двері. Заміна (поновлення) теплоізоляції трубопроводу 90м.</t>
  </si>
  <si>
    <t>Кошти Зеленодольської міської ради</t>
  </si>
  <si>
    <t>Фонд соціального страхування</t>
  </si>
  <si>
    <t>3040/1</t>
  </si>
  <si>
    <t>3040/2</t>
  </si>
  <si>
    <t>3170/6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</si>
</sst>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163">
    <xf numFmtId="0" fontId="0" fillId="0" borderId="0" xfId="0"/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0" xfId="0" applyFont="1"/>
    <xf numFmtId="0" fontId="6" fillId="0" borderId="0" xfId="0" applyFont="1"/>
    <xf numFmtId="0" fontId="6" fillId="0" borderId="10" xfId="0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1" fillId="0" borderId="2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/>
    </xf>
    <xf numFmtId="0" fontId="9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5" xfId="0" applyFont="1" applyBorder="1" applyAlignment="1">
      <alignment vertical="top" wrapText="1"/>
    </xf>
    <xf numFmtId="0" fontId="3" fillId="0" borderId="2" xfId="0" applyFont="1" applyBorder="1"/>
    <xf numFmtId="0" fontId="3" fillId="0" borderId="2" xfId="0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textRotation="90" wrapText="1"/>
    </xf>
    <xf numFmtId="0" fontId="13" fillId="4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13" fillId="5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2" fontId="9" fillId="0" borderId="2" xfId="0" applyNumberFormat="1" applyFont="1" applyBorder="1" applyAlignment="1">
      <alignment horizontal="center" vertical="center" wrapText="1"/>
    </xf>
    <xf numFmtId="2" fontId="13" fillId="6" borderId="2" xfId="0" applyNumberFormat="1" applyFont="1" applyFill="1" applyBorder="1" applyAlignment="1">
      <alignment horizontal="center" vertical="center" wrapText="1"/>
    </xf>
    <xf numFmtId="2" fontId="9" fillId="6" borderId="2" xfId="0" applyNumberFormat="1" applyFont="1" applyFill="1" applyBorder="1" applyAlignment="1">
      <alignment horizontal="center" vertical="center" wrapText="1"/>
    </xf>
    <xf numFmtId="2" fontId="13" fillId="4" borderId="2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2" fontId="13" fillId="0" borderId="2" xfId="0" applyNumberFormat="1" applyFont="1" applyBorder="1" applyAlignment="1">
      <alignment horizontal="center" vertical="center" wrapText="1"/>
    </xf>
    <xf numFmtId="0" fontId="16" fillId="0" borderId="2" xfId="1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2" fontId="13" fillId="0" borderId="2" xfId="0" applyNumberFormat="1" applyFont="1" applyBorder="1" applyAlignment="1">
      <alignment horizontal="center" vertical="center" wrapText="1"/>
    </xf>
    <xf numFmtId="2" fontId="13" fillId="4" borderId="2" xfId="0" applyNumberFormat="1" applyFont="1" applyFill="1" applyBorder="1" applyAlignment="1">
      <alignment horizontal="center" vertical="center" wrapText="1"/>
    </xf>
    <xf numFmtId="2" fontId="6" fillId="0" borderId="0" xfId="0" applyNumberFormat="1" applyFont="1"/>
    <xf numFmtId="2" fontId="9" fillId="2" borderId="2" xfId="0" applyNumberFormat="1" applyFont="1" applyFill="1" applyBorder="1" applyAlignment="1">
      <alignment horizontal="center" vertical="center" wrapText="1"/>
    </xf>
    <xf numFmtId="2" fontId="4" fillId="4" borderId="2" xfId="0" applyNumberFormat="1" applyFont="1" applyFill="1" applyBorder="1" applyAlignment="1">
      <alignment horizontal="center" vertical="center" wrapText="1"/>
    </xf>
    <xf numFmtId="2" fontId="3" fillId="6" borderId="2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4" fillId="5" borderId="2" xfId="0" applyNumberFormat="1" applyFont="1" applyFill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 wrapText="1"/>
    </xf>
    <xf numFmtId="2" fontId="4" fillId="6" borderId="2" xfId="0" applyNumberFormat="1" applyFont="1" applyFill="1" applyBorder="1" applyAlignment="1">
      <alignment horizontal="center" vertical="center" wrapText="1"/>
    </xf>
    <xf numFmtId="2" fontId="6" fillId="0" borderId="10" xfId="0" applyNumberFormat="1" applyFont="1" applyBorder="1"/>
    <xf numFmtId="2" fontId="5" fillId="0" borderId="0" xfId="0" applyNumberFormat="1" applyFont="1" applyAlignment="1">
      <alignment horizontal="center"/>
    </xf>
    <xf numFmtId="2" fontId="3" fillId="0" borderId="0" xfId="0" applyNumberFormat="1" applyFont="1"/>
    <xf numFmtId="2" fontId="9" fillId="4" borderId="2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>
      <alignment horizontal="center" vertical="center" wrapText="1"/>
    </xf>
    <xf numFmtId="2" fontId="11" fillId="4" borderId="2" xfId="0" applyNumberFormat="1" applyFont="1" applyFill="1" applyBorder="1" applyAlignment="1">
      <alignment horizontal="center" vertical="center" wrapText="1"/>
    </xf>
    <xf numFmtId="2" fontId="11" fillId="0" borderId="2" xfId="0" applyNumberFormat="1" applyFont="1" applyBorder="1" applyAlignment="1">
      <alignment horizontal="center" vertical="center" wrapText="1"/>
    </xf>
    <xf numFmtId="2" fontId="10" fillId="0" borderId="2" xfId="0" applyNumberFormat="1" applyFont="1" applyBorder="1" applyAlignment="1">
      <alignment horizontal="center" vertical="center" wrapText="1"/>
    </xf>
    <xf numFmtId="2" fontId="10" fillId="4" borderId="2" xfId="0" applyNumberFormat="1" applyFont="1" applyFill="1" applyBorder="1" applyAlignment="1">
      <alignment horizontal="center" vertical="center" wrapText="1"/>
    </xf>
    <xf numFmtId="2" fontId="10" fillId="2" borderId="2" xfId="0" applyNumberFormat="1" applyFont="1" applyFill="1" applyBorder="1" applyAlignment="1">
      <alignment horizontal="center" vertical="center" wrapText="1"/>
    </xf>
    <xf numFmtId="2" fontId="11" fillId="2" borderId="2" xfId="0" applyNumberFormat="1" applyFont="1" applyFill="1" applyBorder="1" applyAlignment="1">
      <alignment horizontal="center" vertical="center" wrapText="1"/>
    </xf>
    <xf numFmtId="2" fontId="11" fillId="5" borderId="2" xfId="0" applyNumberFormat="1" applyFont="1" applyFill="1" applyBorder="1" applyAlignment="1">
      <alignment horizontal="center" vertical="center" wrapText="1"/>
    </xf>
    <xf numFmtId="2" fontId="9" fillId="0" borderId="7" xfId="0" applyNumberFormat="1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2" fontId="10" fillId="3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13" fillId="4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2" fontId="6" fillId="0" borderId="2" xfId="0" applyNumberFormat="1" applyFont="1" applyBorder="1"/>
    <xf numFmtId="2" fontId="3" fillId="0" borderId="2" xfId="0" applyNumberFormat="1" applyFont="1" applyBorder="1"/>
    <xf numFmtId="0" fontId="3" fillId="0" borderId="2" xfId="0" applyFont="1" applyBorder="1" applyAlignment="1">
      <alignment horizontal="center" vertical="center" wrapText="1"/>
    </xf>
    <xf numFmtId="2" fontId="11" fillId="3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2" fontId="13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2" fontId="13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2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8" fillId="0" borderId="0" xfId="0" applyFont="1" applyAlignment="1">
      <alignment horizontal="center"/>
    </xf>
    <xf numFmtId="0" fontId="6" fillId="0" borderId="2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2" fontId="6" fillId="0" borderId="10" xfId="0" applyNumberFormat="1" applyFont="1" applyBorder="1" applyAlignment="1">
      <alignment horizontal="center"/>
    </xf>
    <xf numFmtId="2" fontId="5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2" fontId="13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2" fontId="13" fillId="4" borderId="2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2" fontId="9" fillId="6" borderId="4" xfId="0" applyNumberFormat="1" applyFont="1" applyFill="1" applyBorder="1" applyAlignment="1">
      <alignment horizontal="center" vertical="center" wrapText="1"/>
    </xf>
    <xf numFmtId="2" fontId="9" fillId="6" borderId="5" xfId="0" applyNumberFormat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13" fillId="0" borderId="2" xfId="0" applyFont="1" applyBorder="1" applyAlignment="1">
      <alignment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72"/>
  <sheetViews>
    <sheetView tabSelected="1" view="pageBreakPreview" topLeftCell="A22" zoomScaleSheetLayoutView="100" workbookViewId="0">
      <pane xSplit="2" ySplit="8" topLeftCell="C141" activePane="bottomRight" state="frozen"/>
      <selection activeCell="A22" sqref="A22"/>
      <selection pane="topRight" activeCell="C22" sqref="C22"/>
      <selection pane="bottomLeft" activeCell="A30" sqref="A30"/>
      <selection pane="bottomRight" activeCell="D138" sqref="D138"/>
    </sheetView>
  </sheetViews>
  <sheetFormatPr defaultRowHeight="18.75"/>
  <cols>
    <col min="1" max="1" width="41.7109375" style="4" customWidth="1"/>
    <col min="2" max="2" width="7.140625" style="4" customWidth="1"/>
    <col min="3" max="3" width="13.5703125" style="4" customWidth="1"/>
    <col min="4" max="4" width="14.28515625" style="4" customWidth="1"/>
    <col min="5" max="6" width="15" style="4" customWidth="1"/>
    <col min="7" max="7" width="17.28515625" style="4" customWidth="1"/>
    <col min="8" max="8" width="14.85546875" style="4" customWidth="1"/>
    <col min="9" max="9" width="9.7109375" style="4" bestFit="1" customWidth="1"/>
    <col min="10" max="16384" width="9.140625" style="4"/>
  </cols>
  <sheetData>
    <row r="1" spans="1:8">
      <c r="E1" s="128" t="s">
        <v>0</v>
      </c>
      <c r="F1" s="128"/>
      <c r="G1" s="128"/>
      <c r="H1" s="128"/>
    </row>
    <row r="2" spans="1:8">
      <c r="E2" s="128" t="s">
        <v>1</v>
      </c>
      <c r="F2" s="128"/>
      <c r="G2" s="128"/>
      <c r="H2" s="128"/>
    </row>
    <row r="3" spans="1:8">
      <c r="E3" s="128" t="s">
        <v>2</v>
      </c>
      <c r="F3" s="128"/>
      <c r="G3" s="128"/>
      <c r="H3" s="128"/>
    </row>
    <row r="4" spans="1:8">
      <c r="E4" s="129" t="s">
        <v>3</v>
      </c>
      <c r="F4" s="129"/>
      <c r="G4" s="129"/>
      <c r="H4" s="129"/>
    </row>
    <row r="5" spans="1:8">
      <c r="E5" s="128" t="s">
        <v>4</v>
      </c>
      <c r="F5" s="128"/>
      <c r="G5" s="9"/>
      <c r="H5" s="9"/>
    </row>
    <row r="7" spans="1:8">
      <c r="A7" s="121"/>
      <c r="B7" s="121"/>
      <c r="C7" s="121"/>
      <c r="D7" s="121"/>
      <c r="E7" s="121"/>
      <c r="F7" s="121"/>
      <c r="G7" s="1" t="s">
        <v>29</v>
      </c>
      <c r="H7" s="2" t="s">
        <v>30</v>
      </c>
    </row>
    <row r="8" spans="1:8" ht="18.75" customHeight="1">
      <c r="A8" s="8" t="s">
        <v>5</v>
      </c>
      <c r="B8" s="122" t="s">
        <v>6</v>
      </c>
      <c r="C8" s="122"/>
      <c r="D8" s="122"/>
      <c r="E8" s="122"/>
      <c r="F8" s="122"/>
      <c r="G8" s="1" t="s">
        <v>31</v>
      </c>
      <c r="H8" s="1">
        <v>13470061</v>
      </c>
    </row>
    <row r="9" spans="1:8" ht="18.75" customHeight="1">
      <c r="A9" s="8" t="s">
        <v>7</v>
      </c>
      <c r="B9" s="123" t="s">
        <v>8</v>
      </c>
      <c r="C9" s="123"/>
      <c r="D9" s="123"/>
      <c r="E9" s="123"/>
      <c r="F9" s="123"/>
      <c r="G9" s="1" t="s">
        <v>32</v>
      </c>
      <c r="H9" s="1"/>
    </row>
    <row r="10" spans="1:8" ht="18.75" customHeight="1">
      <c r="A10" s="8" t="s">
        <v>9</v>
      </c>
      <c r="B10" s="123" t="s">
        <v>10</v>
      </c>
      <c r="C10" s="123"/>
      <c r="D10" s="123"/>
      <c r="E10" s="123"/>
      <c r="F10" s="123"/>
      <c r="G10" s="1" t="s">
        <v>33</v>
      </c>
      <c r="H10" s="1">
        <v>1220310300</v>
      </c>
    </row>
    <row r="11" spans="1:8">
      <c r="A11" s="8" t="s">
        <v>11</v>
      </c>
      <c r="B11" s="123"/>
      <c r="C11" s="123"/>
      <c r="D11" s="123"/>
      <c r="E11" s="123"/>
      <c r="F11" s="123"/>
      <c r="G11" s="1" t="s">
        <v>34</v>
      </c>
      <c r="H11" s="1"/>
    </row>
    <row r="12" spans="1:8" ht="18.75" customHeight="1">
      <c r="A12" s="8" t="s">
        <v>12</v>
      </c>
      <c r="B12" s="123" t="s">
        <v>13</v>
      </c>
      <c r="C12" s="123"/>
      <c r="D12" s="123"/>
      <c r="E12" s="123"/>
      <c r="F12" s="123"/>
      <c r="G12" s="1" t="s">
        <v>35</v>
      </c>
      <c r="H12" s="1"/>
    </row>
    <row r="13" spans="1:8" ht="18.75" customHeight="1">
      <c r="A13" s="8" t="s">
        <v>14</v>
      </c>
      <c r="B13" s="123" t="s">
        <v>15</v>
      </c>
      <c r="C13" s="123"/>
      <c r="D13" s="123"/>
      <c r="E13" s="123"/>
      <c r="F13" s="123"/>
      <c r="G13" s="1" t="s">
        <v>36</v>
      </c>
      <c r="H13" s="1" t="s">
        <v>37</v>
      </c>
    </row>
    <row r="14" spans="1:8" ht="24.75" customHeight="1">
      <c r="A14" s="8" t="s">
        <v>16</v>
      </c>
      <c r="B14" s="122" t="s">
        <v>17</v>
      </c>
      <c r="C14" s="122"/>
      <c r="D14" s="122"/>
      <c r="E14" s="122" t="s">
        <v>27</v>
      </c>
      <c r="F14" s="127"/>
      <c r="G14" s="127"/>
      <c r="H14" s="10"/>
    </row>
    <row r="15" spans="1:8" ht="18.75" customHeight="1">
      <c r="A15" s="8" t="s">
        <v>18</v>
      </c>
      <c r="B15" s="122" t="s">
        <v>19</v>
      </c>
      <c r="C15" s="122"/>
      <c r="D15" s="122"/>
      <c r="E15" s="122" t="s">
        <v>28</v>
      </c>
      <c r="F15" s="127"/>
      <c r="G15" s="127"/>
      <c r="H15" s="10"/>
    </row>
    <row r="16" spans="1:8" ht="37.5">
      <c r="A16" s="8" t="s">
        <v>20</v>
      </c>
      <c r="B16" s="123">
        <v>97</v>
      </c>
      <c r="C16" s="123"/>
      <c r="D16" s="123"/>
      <c r="E16" s="123"/>
      <c r="F16" s="123"/>
      <c r="G16" s="123"/>
      <c r="H16" s="123"/>
    </row>
    <row r="17" spans="1:8" ht="18.75" customHeight="1">
      <c r="A17" s="8" t="s">
        <v>21</v>
      </c>
      <c r="B17" s="122" t="s">
        <v>22</v>
      </c>
      <c r="C17" s="122"/>
      <c r="D17" s="122"/>
      <c r="E17" s="122"/>
      <c r="F17" s="122"/>
      <c r="G17" s="122"/>
      <c r="H17" s="122"/>
    </row>
    <row r="18" spans="1:8" ht="18.75" customHeight="1">
      <c r="A18" s="8" t="s">
        <v>23</v>
      </c>
      <c r="B18" s="122" t="s">
        <v>24</v>
      </c>
      <c r="C18" s="122"/>
      <c r="D18" s="122"/>
      <c r="E18" s="122"/>
      <c r="F18" s="122"/>
      <c r="G18" s="122"/>
      <c r="H18" s="122"/>
    </row>
    <row r="19" spans="1:8" ht="18.75" customHeight="1">
      <c r="A19" s="8" t="s">
        <v>25</v>
      </c>
      <c r="B19" s="122" t="s">
        <v>26</v>
      </c>
      <c r="C19" s="122"/>
      <c r="D19" s="122"/>
      <c r="E19" s="122"/>
      <c r="F19" s="122"/>
      <c r="G19" s="122"/>
      <c r="H19" s="122"/>
    </row>
    <row r="21" spans="1:8" ht="27" customHeight="1">
      <c r="A21" s="117" t="s">
        <v>38</v>
      </c>
      <c r="B21" s="117"/>
      <c r="C21" s="117"/>
      <c r="D21" s="117"/>
      <c r="E21" s="117"/>
      <c r="F21" s="117"/>
      <c r="G21" s="117"/>
      <c r="H21" s="117"/>
    </row>
    <row r="22" spans="1:8">
      <c r="A22" s="117" t="s">
        <v>39</v>
      </c>
      <c r="B22" s="117"/>
      <c r="C22" s="117"/>
      <c r="D22" s="117"/>
      <c r="E22" s="117"/>
      <c r="F22" s="117"/>
      <c r="G22" s="117"/>
      <c r="H22" s="117"/>
    </row>
    <row r="23" spans="1:8">
      <c r="A23" s="126" t="s">
        <v>523</v>
      </c>
      <c r="B23" s="126"/>
      <c r="C23" s="126"/>
      <c r="D23" s="126"/>
      <c r="E23" s="126"/>
      <c r="F23" s="126"/>
      <c r="G23" s="126"/>
      <c r="H23" s="126"/>
    </row>
    <row r="24" spans="1:8" ht="11.25" customHeight="1">
      <c r="A24" s="116" t="s">
        <v>41</v>
      </c>
      <c r="B24" s="116"/>
      <c r="C24" s="116"/>
      <c r="D24" s="116"/>
      <c r="E24" s="116"/>
      <c r="F24" s="116"/>
      <c r="G24" s="116"/>
      <c r="H24" s="116"/>
    </row>
    <row r="25" spans="1:8" ht="34.5" customHeight="1">
      <c r="A25" s="117" t="s">
        <v>40</v>
      </c>
      <c r="B25" s="117"/>
      <c r="C25" s="117"/>
      <c r="D25" s="117"/>
      <c r="E25" s="117"/>
      <c r="F25" s="117"/>
      <c r="G25" s="117"/>
      <c r="H25" s="117"/>
    </row>
    <row r="26" spans="1:8" ht="34.5" customHeight="1">
      <c r="A26" s="118" t="s">
        <v>42</v>
      </c>
      <c r="B26" s="118" t="s">
        <v>43</v>
      </c>
      <c r="C26" s="118" t="s">
        <v>44</v>
      </c>
      <c r="D26" s="118"/>
      <c r="E26" s="118" t="s">
        <v>45</v>
      </c>
      <c r="F26" s="118"/>
      <c r="G26" s="118"/>
      <c r="H26" s="118"/>
    </row>
    <row r="27" spans="1:8">
      <c r="A27" s="118"/>
      <c r="B27" s="118"/>
      <c r="C27" s="40" t="s">
        <v>46</v>
      </c>
      <c r="D27" s="40" t="s">
        <v>47</v>
      </c>
      <c r="E27" s="41" t="s">
        <v>48</v>
      </c>
      <c r="F27" s="42" t="s">
        <v>49</v>
      </c>
      <c r="G27" s="40" t="s">
        <v>50</v>
      </c>
      <c r="H27" s="40" t="s">
        <v>51</v>
      </c>
    </row>
    <row r="28" spans="1:8">
      <c r="A28" s="40">
        <v>1</v>
      </c>
      <c r="B28" s="40">
        <v>2</v>
      </c>
      <c r="C28" s="40">
        <v>3</v>
      </c>
      <c r="D28" s="40">
        <v>4</v>
      </c>
      <c r="E28" s="40">
        <v>5</v>
      </c>
      <c r="F28" s="40">
        <v>6</v>
      </c>
      <c r="G28" s="40">
        <v>7</v>
      </c>
      <c r="H28" s="40">
        <v>8</v>
      </c>
    </row>
    <row r="29" spans="1:8">
      <c r="A29" s="119" t="s">
        <v>52</v>
      </c>
      <c r="B29" s="119"/>
      <c r="C29" s="119"/>
      <c r="D29" s="119"/>
      <c r="E29" s="119"/>
      <c r="F29" s="119"/>
      <c r="G29" s="119"/>
      <c r="H29" s="119"/>
    </row>
    <row r="30" spans="1:8" ht="31.5">
      <c r="A30" s="43" t="s">
        <v>53</v>
      </c>
      <c r="B30" s="44">
        <v>1000</v>
      </c>
      <c r="C30" s="80">
        <f>табл.1!C9</f>
        <v>8400.2900000000009</v>
      </c>
      <c r="D30" s="80">
        <f>табл.1!D9</f>
        <v>15240.17</v>
      </c>
      <c r="E30" s="80">
        <f>табл.1!E9</f>
        <v>18391.009999999998</v>
      </c>
      <c r="F30" s="80">
        <f>табл.1!F9</f>
        <v>15240.17</v>
      </c>
      <c r="G30" s="80">
        <f>табл.1!G9</f>
        <v>-3150.8399999999983</v>
      </c>
      <c r="H30" s="80">
        <f>табл.1!H9</f>
        <v>82.867498848622247</v>
      </c>
    </row>
    <row r="31" spans="1:8" ht="31.5">
      <c r="A31" s="45" t="s">
        <v>55</v>
      </c>
      <c r="B31" s="40">
        <v>1010</v>
      </c>
      <c r="C31" s="81">
        <f>табл.1!C10</f>
        <v>-5175.1299999999992</v>
      </c>
      <c r="D31" s="81">
        <f>табл.1!D10</f>
        <v>-10981.31</v>
      </c>
      <c r="E31" s="81">
        <f>табл.1!E10</f>
        <v>-13178.41</v>
      </c>
      <c r="F31" s="81">
        <f>табл.1!F10</f>
        <v>-10981.31</v>
      </c>
      <c r="G31" s="81">
        <f>табл.1!G10</f>
        <v>2197.1000000000004</v>
      </c>
      <c r="H31" s="81">
        <f>табл.1!H10</f>
        <v>83.328034262099905</v>
      </c>
    </row>
    <row r="32" spans="1:8">
      <c r="A32" s="43" t="s">
        <v>56</v>
      </c>
      <c r="B32" s="44">
        <v>1020</v>
      </c>
      <c r="C32" s="79">
        <f>табл.1!C22</f>
        <v>3225.1600000000017</v>
      </c>
      <c r="D32" s="79">
        <f>табл.1!D22</f>
        <v>4258.8600000000006</v>
      </c>
      <c r="E32" s="79">
        <f>табл.1!E22</f>
        <v>5212.5999999999985</v>
      </c>
      <c r="F32" s="79">
        <f>табл.1!F22</f>
        <v>4258.8600000000006</v>
      </c>
      <c r="G32" s="84">
        <f>табл.1!G22</f>
        <v>-953.73999999999796</v>
      </c>
      <c r="H32" s="84">
        <f>табл.1!H22</f>
        <v>81.703180754326084</v>
      </c>
    </row>
    <row r="33" spans="1:8">
      <c r="A33" s="45" t="s">
        <v>57</v>
      </c>
      <c r="B33" s="40">
        <v>1030</v>
      </c>
      <c r="C33" s="81">
        <f>табл.1!C23</f>
        <v>-2192.1000000000004</v>
      </c>
      <c r="D33" s="81">
        <f>табл.1!D23</f>
        <v>-4906.8099999999995</v>
      </c>
      <c r="E33" s="81">
        <f>табл.1!E23</f>
        <v>-5215</v>
      </c>
      <c r="F33" s="81">
        <f>табл.1!F23</f>
        <v>-4906.8099999999995</v>
      </c>
      <c r="G33" s="81">
        <f>табл.1!G23</f>
        <v>308.19000000000051</v>
      </c>
      <c r="H33" s="81">
        <f>табл.1!H23</f>
        <v>94.090316395014369</v>
      </c>
    </row>
    <row r="34" spans="1:8" ht="31.5">
      <c r="A34" s="45" t="s">
        <v>58</v>
      </c>
      <c r="B34" s="40">
        <v>1031</v>
      </c>
      <c r="C34" s="81">
        <f>табл.1!C24</f>
        <v>-32.64</v>
      </c>
      <c r="D34" s="81">
        <f>табл.1!D24</f>
        <v>-63.91</v>
      </c>
      <c r="E34" s="81">
        <f>табл.1!E24</f>
        <v>-39.450000000000003</v>
      </c>
      <c r="F34" s="81">
        <f>табл.1!F24</f>
        <v>-63.91</v>
      </c>
      <c r="G34" s="81">
        <f>табл.1!G24</f>
        <v>-24.459999999999994</v>
      </c>
      <c r="H34" s="81">
        <f>табл.1!H24</f>
        <v>162.00253485424585</v>
      </c>
    </row>
    <row r="35" spans="1:8" ht="31.5">
      <c r="A35" s="45" t="s">
        <v>60</v>
      </c>
      <c r="B35" s="40">
        <v>1032</v>
      </c>
      <c r="C35" s="81">
        <f>табл.1!C25</f>
        <v>0</v>
      </c>
      <c r="D35" s="81">
        <f>табл.1!D25</f>
        <v>0</v>
      </c>
      <c r="E35" s="81">
        <f>табл.1!E25</f>
        <v>0</v>
      </c>
      <c r="F35" s="81">
        <f>табл.1!F25</f>
        <v>0</v>
      </c>
      <c r="G35" s="81" t="str">
        <f>табл.1!G25</f>
        <v>-</v>
      </c>
      <c r="H35" s="81" t="str">
        <f>табл.1!H25</f>
        <v>-</v>
      </c>
    </row>
    <row r="36" spans="1:8">
      <c r="A36" s="45" t="s">
        <v>61</v>
      </c>
      <c r="B36" s="40">
        <v>1033</v>
      </c>
      <c r="C36" s="81">
        <f>табл.1!C26</f>
        <v>0</v>
      </c>
      <c r="D36" s="81">
        <f>табл.1!D26</f>
        <v>0</v>
      </c>
      <c r="E36" s="81">
        <f>табл.1!E26</f>
        <v>0</v>
      </c>
      <c r="F36" s="81">
        <f>табл.1!F26</f>
        <v>0</v>
      </c>
      <c r="G36" s="81" t="str">
        <f>табл.1!G26</f>
        <v>-</v>
      </c>
      <c r="H36" s="81" t="str">
        <f>табл.1!H26</f>
        <v>-</v>
      </c>
    </row>
    <row r="37" spans="1:8">
      <c r="A37" s="45" t="s">
        <v>62</v>
      </c>
      <c r="B37" s="40">
        <v>1034</v>
      </c>
      <c r="C37" s="81">
        <f>табл.1!C27</f>
        <v>-2.72</v>
      </c>
      <c r="D37" s="81">
        <f>табл.1!D27</f>
        <v>-5.59</v>
      </c>
      <c r="E37" s="81">
        <f>табл.1!E27</f>
        <v>-6.15</v>
      </c>
      <c r="F37" s="81">
        <f>табл.1!F27</f>
        <v>-5.59</v>
      </c>
      <c r="G37" s="81">
        <f>табл.1!G27</f>
        <v>0.5600000000000005</v>
      </c>
      <c r="H37" s="81">
        <f>табл.1!H27</f>
        <v>90.894308943089413</v>
      </c>
    </row>
    <row r="38" spans="1:8">
      <c r="A38" s="45" t="s">
        <v>63</v>
      </c>
      <c r="B38" s="40">
        <v>1035</v>
      </c>
      <c r="C38" s="81">
        <f>табл.1!C28</f>
        <v>0</v>
      </c>
      <c r="D38" s="81">
        <f>табл.1!D28</f>
        <v>0</v>
      </c>
      <c r="E38" s="81" t="str">
        <f>табл.1!E28</f>
        <v>( )</v>
      </c>
      <c r="F38" s="81">
        <f>табл.1!F28</f>
        <v>0</v>
      </c>
      <c r="G38" s="81" t="str">
        <f>табл.1!G28</f>
        <v>-</v>
      </c>
      <c r="H38" s="81" t="str">
        <f>табл.1!H28</f>
        <v>-</v>
      </c>
    </row>
    <row r="39" spans="1:8">
      <c r="A39" s="45" t="s">
        <v>64</v>
      </c>
      <c r="B39" s="40">
        <v>1060</v>
      </c>
      <c r="C39" s="40" t="s">
        <v>54</v>
      </c>
      <c r="D39" s="40" t="s">
        <v>54</v>
      </c>
      <c r="E39" s="40" t="s">
        <v>54</v>
      </c>
      <c r="F39" s="40" t="s">
        <v>54</v>
      </c>
      <c r="G39" s="40" t="s">
        <v>54</v>
      </c>
      <c r="H39" s="40" t="s">
        <v>54</v>
      </c>
    </row>
    <row r="40" spans="1:8">
      <c r="A40" s="45" t="s">
        <v>65</v>
      </c>
      <c r="B40" s="40">
        <v>1070</v>
      </c>
      <c r="C40" s="40" t="s">
        <v>54</v>
      </c>
      <c r="D40" s="40" t="s">
        <v>54</v>
      </c>
      <c r="E40" s="40" t="s">
        <v>54</v>
      </c>
      <c r="F40" s="40" t="s">
        <v>54</v>
      </c>
      <c r="G40" s="40" t="s">
        <v>54</v>
      </c>
      <c r="H40" s="40" t="s">
        <v>54</v>
      </c>
    </row>
    <row r="41" spans="1:8">
      <c r="A41" s="45" t="s">
        <v>66</v>
      </c>
      <c r="B41" s="40">
        <v>1071</v>
      </c>
      <c r="C41" s="40" t="s">
        <v>54</v>
      </c>
      <c r="D41" s="40" t="s">
        <v>54</v>
      </c>
      <c r="E41" s="40" t="s">
        <v>54</v>
      </c>
      <c r="F41" s="40" t="s">
        <v>54</v>
      </c>
      <c r="G41" s="40" t="s">
        <v>54</v>
      </c>
      <c r="H41" s="40" t="s">
        <v>54</v>
      </c>
    </row>
    <row r="42" spans="1:8">
      <c r="A42" s="45" t="s">
        <v>67</v>
      </c>
      <c r="B42" s="40">
        <v>1072</v>
      </c>
      <c r="C42" s="40" t="s">
        <v>54</v>
      </c>
      <c r="D42" s="40" t="s">
        <v>54</v>
      </c>
      <c r="E42" s="40" t="s">
        <v>54</v>
      </c>
      <c r="F42" s="40" t="s">
        <v>54</v>
      </c>
      <c r="G42" s="40" t="s">
        <v>54</v>
      </c>
      <c r="H42" s="40" t="s">
        <v>54</v>
      </c>
    </row>
    <row r="43" spans="1:8">
      <c r="A43" s="45" t="s">
        <v>68</v>
      </c>
      <c r="B43" s="40">
        <v>1080</v>
      </c>
      <c r="C43" s="40" t="s">
        <v>54</v>
      </c>
      <c r="D43" s="40" t="s">
        <v>54</v>
      </c>
      <c r="E43" s="40" t="s">
        <v>54</v>
      </c>
      <c r="F43" s="40" t="s">
        <v>54</v>
      </c>
      <c r="G43" s="40" t="s">
        <v>54</v>
      </c>
      <c r="H43" s="40" t="s">
        <v>54</v>
      </c>
    </row>
    <row r="44" spans="1:8">
      <c r="A44" s="45" t="s">
        <v>66</v>
      </c>
      <c r="B44" s="40">
        <v>1081</v>
      </c>
      <c r="C44" s="40" t="s">
        <v>59</v>
      </c>
      <c r="D44" s="40" t="s">
        <v>59</v>
      </c>
      <c r="E44" s="40" t="s">
        <v>59</v>
      </c>
      <c r="F44" s="40" t="s">
        <v>59</v>
      </c>
      <c r="G44" s="40" t="s">
        <v>54</v>
      </c>
      <c r="H44" s="40" t="s">
        <v>54</v>
      </c>
    </row>
    <row r="45" spans="1:8">
      <c r="A45" s="45" t="s">
        <v>69</v>
      </c>
      <c r="B45" s="40">
        <v>1082</v>
      </c>
      <c r="C45" s="40" t="s">
        <v>59</v>
      </c>
      <c r="D45" s="40" t="s">
        <v>59</v>
      </c>
      <c r="E45" s="40" t="s">
        <v>59</v>
      </c>
      <c r="F45" s="40" t="s">
        <v>59</v>
      </c>
      <c r="G45" s="40" t="s">
        <v>54</v>
      </c>
      <c r="H45" s="40" t="s">
        <v>54</v>
      </c>
    </row>
    <row r="46" spans="1:8" ht="31.5">
      <c r="A46" s="43" t="s">
        <v>70</v>
      </c>
      <c r="B46" s="44">
        <v>1100</v>
      </c>
      <c r="C46" s="79">
        <f>табл.1!C74</f>
        <v>1034.2800000000013</v>
      </c>
      <c r="D46" s="79">
        <f>табл.1!D74</f>
        <v>-644.80999999999892</v>
      </c>
      <c r="E46" s="79">
        <f>табл.1!E74</f>
        <v>-1.4552803406786552E-12</v>
      </c>
      <c r="F46" s="79">
        <f>табл.1!F74</f>
        <v>-644.80999999999892</v>
      </c>
      <c r="G46" s="84">
        <f>табл.1!G74</f>
        <v>-644.80999999999744</v>
      </c>
      <c r="H46" s="84" t="str">
        <f>табл.1!H74</f>
        <v>-</v>
      </c>
    </row>
    <row r="47" spans="1:8">
      <c r="A47" s="43" t="s">
        <v>71</v>
      </c>
      <c r="B47" s="44">
        <v>1310</v>
      </c>
      <c r="C47" s="80">
        <f>табл.1!C103</f>
        <v>1487.1600000000012</v>
      </c>
      <c r="D47" s="80">
        <f>табл.1!D103</f>
        <v>-196.80999999999892</v>
      </c>
      <c r="E47" s="80">
        <f>табл.1!E103</f>
        <v>30.479999999998544</v>
      </c>
      <c r="F47" s="80">
        <f>табл.1!F103</f>
        <v>-196.80999999999892</v>
      </c>
      <c r="G47" s="80">
        <f>табл.1!G103</f>
        <v>-227.28999999999746</v>
      </c>
      <c r="H47" s="80">
        <f>табл.1!H103</f>
        <v>-645.70209973756016</v>
      </c>
    </row>
    <row r="48" spans="1:8">
      <c r="A48" s="43" t="s">
        <v>72</v>
      </c>
      <c r="B48" s="44">
        <v>5010</v>
      </c>
      <c r="C48" s="99">
        <f>табл.5!D10</f>
        <v>17.703674515998866</v>
      </c>
      <c r="D48" s="99">
        <f>табл.5!E10</f>
        <v>-1.2913897942083252</v>
      </c>
      <c r="E48" s="99">
        <f>табл.5!F10</f>
        <v>0.16573314896788455</v>
      </c>
      <c r="F48" s="99">
        <f>табл.5!G10</f>
        <v>-1.2913897942083252</v>
      </c>
      <c r="G48" s="44" t="s">
        <v>54</v>
      </c>
      <c r="H48" s="44" t="s">
        <v>54</v>
      </c>
    </row>
    <row r="49" spans="1:8">
      <c r="A49" s="45" t="s">
        <v>73</v>
      </c>
      <c r="B49" s="40">
        <v>1110</v>
      </c>
      <c r="C49" s="40" t="s">
        <v>54</v>
      </c>
      <c r="D49" s="40" t="s">
        <v>54</v>
      </c>
      <c r="E49" s="40" t="s">
        <v>54</v>
      </c>
      <c r="F49" s="40" t="s">
        <v>54</v>
      </c>
      <c r="G49" s="40" t="s">
        <v>54</v>
      </c>
      <c r="H49" s="40" t="s">
        <v>54</v>
      </c>
    </row>
    <row r="50" spans="1:8">
      <c r="A50" s="45" t="s">
        <v>74</v>
      </c>
      <c r="B50" s="40">
        <v>1120</v>
      </c>
      <c r="C50" s="40" t="s">
        <v>59</v>
      </c>
      <c r="D50" s="40" t="s">
        <v>59</v>
      </c>
      <c r="E50" s="40" t="s">
        <v>59</v>
      </c>
      <c r="F50" s="40" t="s">
        <v>59</v>
      </c>
      <c r="G50" s="40" t="s">
        <v>54</v>
      </c>
      <c r="H50" s="40" t="s">
        <v>54</v>
      </c>
    </row>
    <row r="51" spans="1:8">
      <c r="A51" s="45" t="s">
        <v>75</v>
      </c>
      <c r="B51" s="40">
        <v>1130</v>
      </c>
      <c r="C51" s="40" t="s">
        <v>54</v>
      </c>
      <c r="D51" s="40" t="s">
        <v>54</v>
      </c>
      <c r="E51" s="40" t="s">
        <v>54</v>
      </c>
      <c r="F51" s="40" t="s">
        <v>54</v>
      </c>
      <c r="G51" s="40" t="s">
        <v>54</v>
      </c>
      <c r="H51" s="40" t="s">
        <v>54</v>
      </c>
    </row>
    <row r="52" spans="1:8">
      <c r="A52" s="45" t="s">
        <v>76</v>
      </c>
      <c r="B52" s="40">
        <v>1140</v>
      </c>
      <c r="C52" s="40" t="s">
        <v>59</v>
      </c>
      <c r="D52" s="40" t="s">
        <v>59</v>
      </c>
      <c r="E52" s="40" t="s">
        <v>59</v>
      </c>
      <c r="F52" s="40" t="s">
        <v>59</v>
      </c>
      <c r="G52" s="40" t="s">
        <v>54</v>
      </c>
      <c r="H52" s="40" t="s">
        <v>54</v>
      </c>
    </row>
    <row r="53" spans="1:8">
      <c r="A53" s="45" t="s">
        <v>77</v>
      </c>
      <c r="B53" s="40">
        <v>1150</v>
      </c>
      <c r="C53" s="40" t="s">
        <v>54</v>
      </c>
      <c r="D53" s="40" t="s">
        <v>54</v>
      </c>
      <c r="E53" s="40" t="s">
        <v>54</v>
      </c>
      <c r="F53" s="40" t="s">
        <v>54</v>
      </c>
      <c r="G53" s="40" t="s">
        <v>54</v>
      </c>
      <c r="H53" s="40" t="s">
        <v>54</v>
      </c>
    </row>
    <row r="54" spans="1:8">
      <c r="A54" s="45" t="s">
        <v>66</v>
      </c>
      <c r="B54" s="40">
        <v>1151</v>
      </c>
      <c r="C54" s="40" t="s">
        <v>54</v>
      </c>
      <c r="D54" s="40" t="s">
        <v>54</v>
      </c>
      <c r="E54" s="40" t="s">
        <v>54</v>
      </c>
      <c r="F54" s="40" t="s">
        <v>54</v>
      </c>
      <c r="G54" s="40" t="s">
        <v>54</v>
      </c>
      <c r="H54" s="40" t="s">
        <v>54</v>
      </c>
    </row>
    <row r="55" spans="1:8">
      <c r="A55" s="45" t="s">
        <v>78</v>
      </c>
      <c r="B55" s="40">
        <v>1160</v>
      </c>
      <c r="C55" s="40" t="s">
        <v>54</v>
      </c>
      <c r="D55" s="40" t="s">
        <v>54</v>
      </c>
      <c r="E55" s="40" t="s">
        <v>54</v>
      </c>
      <c r="F55" s="40" t="s">
        <v>54</v>
      </c>
      <c r="G55" s="40" t="s">
        <v>54</v>
      </c>
      <c r="H55" s="40" t="s">
        <v>54</v>
      </c>
    </row>
    <row r="56" spans="1:8">
      <c r="A56" s="45" t="s">
        <v>66</v>
      </c>
      <c r="B56" s="40">
        <v>1161</v>
      </c>
      <c r="C56" s="40" t="s">
        <v>59</v>
      </c>
      <c r="D56" s="40" t="s">
        <v>59</v>
      </c>
      <c r="E56" s="40" t="s">
        <v>59</v>
      </c>
      <c r="F56" s="40" t="s">
        <v>59</v>
      </c>
      <c r="G56" s="40" t="s">
        <v>54</v>
      </c>
      <c r="H56" s="40" t="s">
        <v>54</v>
      </c>
    </row>
    <row r="57" spans="1:8" ht="31.5">
      <c r="A57" s="43" t="s">
        <v>79</v>
      </c>
      <c r="B57" s="44">
        <v>1170</v>
      </c>
      <c r="C57" s="79">
        <f>табл.1!C85</f>
        <v>1034.2800000000013</v>
      </c>
      <c r="D57" s="79">
        <f>табл.1!D85</f>
        <v>-644.80999999999892</v>
      </c>
      <c r="E57" s="79">
        <f>табл.1!E85</f>
        <v>-1.4552803406786552E-12</v>
      </c>
      <c r="F57" s="79">
        <f>табл.1!F85</f>
        <v>-644.80999999999892</v>
      </c>
      <c r="G57" s="84">
        <f>табл.1!G85</f>
        <v>-644.80999999999744</v>
      </c>
      <c r="H57" s="84" t="str">
        <f>табл.1!H85</f>
        <v>-</v>
      </c>
    </row>
    <row r="58" spans="1:8">
      <c r="A58" s="45" t="s">
        <v>80</v>
      </c>
      <c r="B58" s="40">
        <v>1180</v>
      </c>
      <c r="C58" s="40" t="s">
        <v>59</v>
      </c>
      <c r="D58" s="40" t="s">
        <v>59</v>
      </c>
      <c r="E58" s="40" t="s">
        <v>59</v>
      </c>
      <c r="F58" s="40" t="s">
        <v>59</v>
      </c>
      <c r="G58" s="40" t="s">
        <v>54</v>
      </c>
      <c r="H58" s="40" t="s">
        <v>54</v>
      </c>
    </row>
    <row r="59" spans="1:8">
      <c r="A59" s="45" t="s">
        <v>81</v>
      </c>
      <c r="B59" s="40">
        <v>1181</v>
      </c>
      <c r="C59" s="40" t="s">
        <v>54</v>
      </c>
      <c r="D59" s="40" t="s">
        <v>54</v>
      </c>
      <c r="E59" s="40" t="s">
        <v>54</v>
      </c>
      <c r="F59" s="40" t="s">
        <v>54</v>
      </c>
      <c r="G59" s="40" t="s">
        <v>54</v>
      </c>
      <c r="H59" s="40" t="s">
        <v>54</v>
      </c>
    </row>
    <row r="60" spans="1:8" ht="31.5">
      <c r="A60" s="45" t="s">
        <v>82</v>
      </c>
      <c r="B60" s="40">
        <v>1190</v>
      </c>
      <c r="C60" s="40" t="s">
        <v>54</v>
      </c>
      <c r="D60" s="40" t="s">
        <v>54</v>
      </c>
      <c r="E60" s="40" t="s">
        <v>54</v>
      </c>
      <c r="F60" s="40" t="s">
        <v>54</v>
      </c>
      <c r="G60" s="40" t="s">
        <v>54</v>
      </c>
      <c r="H60" s="40" t="s">
        <v>54</v>
      </c>
    </row>
    <row r="61" spans="1:8" ht="31.5">
      <c r="A61" s="45" t="s">
        <v>83</v>
      </c>
      <c r="B61" s="40">
        <v>1191</v>
      </c>
      <c r="C61" s="40" t="s">
        <v>59</v>
      </c>
      <c r="D61" s="40" t="s">
        <v>59</v>
      </c>
      <c r="E61" s="40" t="s">
        <v>59</v>
      </c>
      <c r="F61" s="40" t="s">
        <v>59</v>
      </c>
      <c r="G61" s="40" t="s">
        <v>54</v>
      </c>
      <c r="H61" s="40" t="s">
        <v>54</v>
      </c>
    </row>
    <row r="62" spans="1:8">
      <c r="A62" s="43" t="s">
        <v>84</v>
      </c>
      <c r="B62" s="44">
        <v>1200</v>
      </c>
      <c r="C62" s="79">
        <f>табл.1!C90</f>
        <v>1034.2800000000013</v>
      </c>
      <c r="D62" s="79">
        <f>табл.1!D90</f>
        <v>-644.80999999999892</v>
      </c>
      <c r="E62" s="79">
        <f>табл.1!E90</f>
        <v>-1.4552803406786552E-12</v>
      </c>
      <c r="F62" s="79">
        <f>табл.1!F90</f>
        <v>-644.80999999999892</v>
      </c>
      <c r="G62" s="84">
        <f>табл.1!G90</f>
        <v>-644.80999999999744</v>
      </c>
      <c r="H62" s="84" t="str">
        <f>табл.1!H90</f>
        <v>-</v>
      </c>
    </row>
    <row r="63" spans="1:8">
      <c r="A63" s="45" t="s">
        <v>85</v>
      </c>
      <c r="B63" s="40">
        <v>1201</v>
      </c>
      <c r="C63" s="81">
        <f>табл.1!C91</f>
        <v>1034.28</v>
      </c>
      <c r="D63" s="81">
        <f>табл.1!D91</f>
        <v>0</v>
      </c>
      <c r="E63" s="81">
        <f>табл.1!E91</f>
        <v>0</v>
      </c>
      <c r="F63" s="81">
        <f>табл.1!F91</f>
        <v>0</v>
      </c>
      <c r="G63" s="81">
        <f>табл.1!G91</f>
        <v>0</v>
      </c>
      <c r="H63" s="81" t="str">
        <f>табл.1!H91</f>
        <v>-</v>
      </c>
    </row>
    <row r="64" spans="1:8">
      <c r="A64" s="45" t="s">
        <v>86</v>
      </c>
      <c r="B64" s="40">
        <v>1202</v>
      </c>
      <c r="C64" s="81">
        <f>табл.1!C92</f>
        <v>0</v>
      </c>
      <c r="D64" s="81">
        <f>табл.1!D92</f>
        <v>644.80999999999995</v>
      </c>
      <c r="E64" s="81">
        <f>табл.1!E92</f>
        <v>0</v>
      </c>
      <c r="F64" s="81">
        <f>табл.1!F92</f>
        <v>644.80999999999995</v>
      </c>
      <c r="G64" s="81" t="str">
        <f>табл.1!G92</f>
        <v>-</v>
      </c>
      <c r="H64" s="81" t="str">
        <f>табл.1!H92</f>
        <v>-</v>
      </c>
    </row>
    <row r="65" spans="1:9">
      <c r="A65" s="43" t="s">
        <v>87</v>
      </c>
      <c r="B65" s="40">
        <v>1210</v>
      </c>
      <c r="C65" s="85">
        <f>табл.1!C93</f>
        <v>8401.51</v>
      </c>
      <c r="D65" s="85">
        <f>табл.1!D93</f>
        <v>15243.31</v>
      </c>
      <c r="E65" s="85">
        <f>табл.1!E93</f>
        <v>18393.41</v>
      </c>
      <c r="F65" s="85">
        <f>табл.1!F93</f>
        <v>15243.31</v>
      </c>
      <c r="G65" s="84">
        <f>табл.1!G93</f>
        <v>-3150.1000000000004</v>
      </c>
      <c r="H65" s="84">
        <f>табл.1!H93</f>
        <v>82.87375750336669</v>
      </c>
    </row>
    <row r="66" spans="1:9">
      <c r="A66" s="43" t="s">
        <v>88</v>
      </c>
      <c r="B66" s="40">
        <v>1220</v>
      </c>
      <c r="C66" s="85">
        <f>табл.1!C94</f>
        <v>-7367.23</v>
      </c>
      <c r="D66" s="85">
        <f>табл.1!D94</f>
        <v>-15888.119999999999</v>
      </c>
      <c r="E66" s="85">
        <f>табл.1!E94</f>
        <v>-18393.41</v>
      </c>
      <c r="F66" s="85">
        <f>табл.1!F94</f>
        <v>-15888.119999999999</v>
      </c>
      <c r="G66" s="84">
        <f>табл.1!G94</f>
        <v>2505.2900000000009</v>
      </c>
      <c r="H66" s="84">
        <f>табл.1!H94</f>
        <v>86.379415236217753</v>
      </c>
    </row>
    <row r="67" spans="1:9">
      <c r="A67" s="45" t="s">
        <v>89</v>
      </c>
      <c r="B67" s="40">
        <v>1230</v>
      </c>
      <c r="C67" s="40" t="s">
        <v>54</v>
      </c>
      <c r="D67" s="40" t="s">
        <v>54</v>
      </c>
      <c r="E67" s="40" t="s">
        <v>54</v>
      </c>
      <c r="F67" s="40" t="s">
        <v>54</v>
      </c>
      <c r="G67" s="40" t="s">
        <v>54</v>
      </c>
      <c r="H67" s="40" t="s">
        <v>54</v>
      </c>
    </row>
    <row r="68" spans="1:9">
      <c r="A68" s="43" t="s">
        <v>90</v>
      </c>
      <c r="B68" s="40" t="s">
        <v>91</v>
      </c>
      <c r="C68" s="40" t="s">
        <v>91</v>
      </c>
      <c r="D68" s="40" t="s">
        <v>91</v>
      </c>
      <c r="E68" s="40" t="s">
        <v>91</v>
      </c>
      <c r="F68" s="40" t="s">
        <v>91</v>
      </c>
      <c r="G68" s="44" t="s">
        <v>54</v>
      </c>
      <c r="H68" s="44" t="s">
        <v>54</v>
      </c>
    </row>
    <row r="69" spans="1:9">
      <c r="A69" s="45" t="s">
        <v>92</v>
      </c>
      <c r="B69" s="40">
        <v>1400</v>
      </c>
      <c r="C69" s="81">
        <f>табл.1!C105</f>
        <v>1477.69</v>
      </c>
      <c r="D69" s="81">
        <f>табл.1!D105</f>
        <v>3495.46</v>
      </c>
      <c r="E69" s="81">
        <f>табл.1!E105</f>
        <v>4208.37</v>
      </c>
      <c r="F69" s="81">
        <f>табл.1!F105</f>
        <v>3495.46</v>
      </c>
      <c r="G69" s="81">
        <f>табл.1!G105</f>
        <v>-712.90999999999985</v>
      </c>
      <c r="H69" s="81">
        <f>табл.1!H105</f>
        <v>83.059711954984948</v>
      </c>
    </row>
    <row r="70" spans="1:9" ht="31.5">
      <c r="A70" s="45" t="s">
        <v>93</v>
      </c>
      <c r="B70" s="40">
        <v>1401</v>
      </c>
      <c r="C70" s="81">
        <f>табл.1!C106</f>
        <v>493.46</v>
      </c>
      <c r="D70" s="81">
        <f>табл.1!D106</f>
        <v>1235.58</v>
      </c>
      <c r="E70" s="81">
        <f>табл.1!E106</f>
        <v>1492.7</v>
      </c>
      <c r="F70" s="81">
        <f>табл.1!F106</f>
        <v>1235.58</v>
      </c>
      <c r="G70" s="81">
        <f>табл.1!G106</f>
        <v>-257.12000000000012</v>
      </c>
      <c r="H70" s="81">
        <f>табл.1!H106</f>
        <v>82.774837542707829</v>
      </c>
    </row>
    <row r="71" spans="1:9">
      <c r="A71" s="45" t="s">
        <v>94</v>
      </c>
      <c r="B71" s="40">
        <v>1402</v>
      </c>
      <c r="C71" s="81">
        <f>табл.1!C107</f>
        <v>617.74</v>
      </c>
      <c r="D71" s="81">
        <f>табл.1!D107</f>
        <v>1455.5</v>
      </c>
      <c r="E71" s="81">
        <f>табл.1!E107</f>
        <v>2115.67</v>
      </c>
      <c r="F71" s="81">
        <f>табл.1!F107</f>
        <v>1455.5</v>
      </c>
      <c r="G71" s="81">
        <f>табл.1!G107</f>
        <v>-660.17000000000007</v>
      </c>
      <c r="H71" s="81">
        <f>табл.1!H107</f>
        <v>68.796173316254425</v>
      </c>
    </row>
    <row r="72" spans="1:9">
      <c r="A72" s="45" t="s">
        <v>95</v>
      </c>
      <c r="B72" s="40">
        <v>1410</v>
      </c>
      <c r="C72" s="81">
        <f>табл.1!C108</f>
        <v>4167.7700000000004</v>
      </c>
      <c r="D72" s="81">
        <f>табл.1!D108</f>
        <v>9191.5499999999993</v>
      </c>
      <c r="E72" s="81">
        <f>табл.1!E108</f>
        <v>11130.779999999999</v>
      </c>
      <c r="F72" s="81">
        <f>табл.1!F108</f>
        <v>9191.5499999999993</v>
      </c>
      <c r="G72" s="81">
        <f>табл.1!G108</f>
        <v>-1939.2299999999996</v>
      </c>
      <c r="H72" s="81">
        <f>табл.1!H108</f>
        <v>82.577770830076602</v>
      </c>
    </row>
    <row r="73" spans="1:9">
      <c r="A73" s="45" t="s">
        <v>96</v>
      </c>
      <c r="B73" s="40">
        <v>1420</v>
      </c>
      <c r="C73" s="81">
        <f>табл.1!C109</f>
        <v>952.99</v>
      </c>
      <c r="D73" s="81">
        <f>табл.1!D109</f>
        <v>2061.38</v>
      </c>
      <c r="E73" s="81">
        <f>табл.1!E109</f>
        <v>2448.77</v>
      </c>
      <c r="F73" s="81">
        <f>табл.1!F109</f>
        <v>2061.38</v>
      </c>
      <c r="G73" s="81">
        <f>табл.1!G109</f>
        <v>-387.38999999999987</v>
      </c>
      <c r="H73" s="81">
        <f>табл.1!H109</f>
        <v>84.180221090588333</v>
      </c>
    </row>
    <row r="74" spans="1:9">
      <c r="A74" s="45" t="s">
        <v>97</v>
      </c>
      <c r="B74" s="40">
        <v>1430</v>
      </c>
      <c r="C74" s="81">
        <f>табл.1!C110</f>
        <v>452.88</v>
      </c>
      <c r="D74" s="81">
        <f>табл.1!D110</f>
        <v>448</v>
      </c>
      <c r="E74" s="81">
        <f>табл.1!E110</f>
        <v>30.48</v>
      </c>
      <c r="F74" s="81">
        <f>табл.1!F110</f>
        <v>448</v>
      </c>
      <c r="G74" s="81">
        <f>табл.1!G110</f>
        <v>417.52</v>
      </c>
      <c r="H74" s="81">
        <f>табл.1!H110</f>
        <v>1469.8162729658793</v>
      </c>
    </row>
    <row r="75" spans="1:9">
      <c r="A75" s="45" t="s">
        <v>98</v>
      </c>
      <c r="B75" s="40">
        <v>1440</v>
      </c>
      <c r="C75" s="81">
        <f>табл.1!C111</f>
        <v>315.89999999999998</v>
      </c>
      <c r="D75" s="81">
        <f>табл.1!D111</f>
        <v>691.73</v>
      </c>
      <c r="E75" s="81">
        <f>табл.1!E111</f>
        <v>575.01</v>
      </c>
      <c r="F75" s="81">
        <f>табл.1!F111</f>
        <v>691.73</v>
      </c>
      <c r="G75" s="81">
        <f>табл.1!G111</f>
        <v>116.72000000000003</v>
      </c>
      <c r="H75" s="81">
        <f>табл.1!H111</f>
        <v>120.29877741256674</v>
      </c>
    </row>
    <row r="76" spans="1:9">
      <c r="A76" s="43" t="s">
        <v>99</v>
      </c>
      <c r="B76" s="44">
        <v>1450</v>
      </c>
      <c r="C76" s="79">
        <f>табл.1!C112</f>
        <v>7367.2300000000005</v>
      </c>
      <c r="D76" s="79">
        <f>табл.1!D112</f>
        <v>15888.119999999999</v>
      </c>
      <c r="E76" s="79">
        <f>табл.1!E112</f>
        <v>18393.409999999996</v>
      </c>
      <c r="F76" s="79">
        <f>табл.1!F112</f>
        <v>15888.119999999999</v>
      </c>
      <c r="G76" s="84">
        <f>табл.1!G112</f>
        <v>-2505.2899999999972</v>
      </c>
      <c r="H76" s="84">
        <f>табл.1!H112</f>
        <v>86.379415236217767</v>
      </c>
      <c r="I76" s="64"/>
    </row>
    <row r="77" spans="1:9">
      <c r="A77" s="119" t="s">
        <v>100</v>
      </c>
      <c r="B77" s="119"/>
      <c r="C77" s="119"/>
      <c r="D77" s="119"/>
      <c r="E77" s="119"/>
      <c r="F77" s="119"/>
      <c r="G77" s="119"/>
      <c r="H77" s="119"/>
    </row>
    <row r="78" spans="1:9">
      <c r="A78" s="125" t="s">
        <v>101</v>
      </c>
      <c r="B78" s="125"/>
      <c r="C78" s="125"/>
      <c r="D78" s="125"/>
      <c r="E78" s="125"/>
      <c r="F78" s="125"/>
      <c r="G78" s="125"/>
      <c r="H78" s="125"/>
    </row>
    <row r="79" spans="1:9" ht="47.25">
      <c r="A79" s="45" t="s">
        <v>102</v>
      </c>
      <c r="B79" s="40">
        <v>2000</v>
      </c>
      <c r="C79" s="40" t="s">
        <v>54</v>
      </c>
      <c r="D79" s="81">
        <f>табл.2!D9</f>
        <v>1034.2</v>
      </c>
      <c r="E79" s="81">
        <f>табл.2!E9</f>
        <v>0</v>
      </c>
      <c r="F79" s="81">
        <f>табл.2!F9</f>
        <v>1034.2</v>
      </c>
      <c r="G79" s="40" t="s">
        <v>54</v>
      </c>
      <c r="H79" s="40" t="s">
        <v>54</v>
      </c>
    </row>
    <row r="80" spans="1:9">
      <c r="A80" s="45" t="s">
        <v>84</v>
      </c>
      <c r="B80" s="40">
        <v>1200</v>
      </c>
      <c r="C80" s="81">
        <f>табл.1!C90</f>
        <v>1034.2800000000013</v>
      </c>
      <c r="D80" s="81">
        <f>табл.1!D90</f>
        <v>-644.80999999999892</v>
      </c>
      <c r="E80" s="81">
        <f>табл.1!E90</f>
        <v>-1.4552803406786552E-12</v>
      </c>
      <c r="F80" s="81">
        <f>табл.1!F90</f>
        <v>-644.80999999999892</v>
      </c>
      <c r="G80" s="81">
        <f>табл.1!G90</f>
        <v>-644.80999999999744</v>
      </c>
      <c r="H80" s="81" t="str">
        <f>табл.1!H90</f>
        <v>-</v>
      </c>
    </row>
    <row r="81" spans="1:8" ht="47.25">
      <c r="A81" s="45" t="s">
        <v>103</v>
      </c>
      <c r="B81" s="40">
        <v>2010</v>
      </c>
      <c r="C81" s="47" t="s">
        <v>54</v>
      </c>
      <c r="D81" s="47" t="s">
        <v>54</v>
      </c>
      <c r="E81" s="47" t="s">
        <v>54</v>
      </c>
      <c r="F81" s="47" t="s">
        <v>54</v>
      </c>
      <c r="G81" s="40" t="s">
        <v>54</v>
      </c>
      <c r="H81" s="40" t="s">
        <v>54</v>
      </c>
    </row>
    <row r="82" spans="1:8" ht="47.25">
      <c r="A82" s="45" t="s">
        <v>104</v>
      </c>
      <c r="B82" s="40">
        <v>2011</v>
      </c>
      <c r="C82" s="40" t="s">
        <v>59</v>
      </c>
      <c r="D82" s="40" t="s">
        <v>59</v>
      </c>
      <c r="E82" s="40" t="s">
        <v>59</v>
      </c>
      <c r="F82" s="40" t="s">
        <v>59</v>
      </c>
      <c r="G82" s="40" t="s">
        <v>54</v>
      </c>
      <c r="H82" s="40" t="s">
        <v>54</v>
      </c>
    </row>
    <row r="83" spans="1:8" ht="63">
      <c r="A83" s="45" t="s">
        <v>105</v>
      </c>
      <c r="B83" s="40">
        <v>2012</v>
      </c>
      <c r="C83" s="40" t="s">
        <v>59</v>
      </c>
      <c r="D83" s="40" t="s">
        <v>59</v>
      </c>
      <c r="E83" s="40" t="s">
        <v>59</v>
      </c>
      <c r="F83" s="40" t="s">
        <v>59</v>
      </c>
      <c r="G83" s="40" t="s">
        <v>54</v>
      </c>
      <c r="H83" s="40" t="s">
        <v>54</v>
      </c>
    </row>
    <row r="84" spans="1:8" ht="31.5">
      <c r="A84" s="45" t="s">
        <v>106</v>
      </c>
      <c r="B84" s="40" t="s">
        <v>107</v>
      </c>
      <c r="C84" s="40" t="s">
        <v>59</v>
      </c>
      <c r="D84" s="40" t="s">
        <v>59</v>
      </c>
      <c r="E84" s="40" t="s">
        <v>59</v>
      </c>
      <c r="F84" s="40" t="s">
        <v>59</v>
      </c>
      <c r="G84" s="40" t="s">
        <v>54</v>
      </c>
      <c r="H84" s="40" t="s">
        <v>54</v>
      </c>
    </row>
    <row r="85" spans="1:8">
      <c r="A85" s="45" t="s">
        <v>108</v>
      </c>
      <c r="B85" s="40">
        <v>2020</v>
      </c>
      <c r="C85" s="40" t="s">
        <v>54</v>
      </c>
      <c r="D85" s="40" t="s">
        <v>54</v>
      </c>
      <c r="E85" s="40" t="s">
        <v>54</v>
      </c>
      <c r="F85" s="40" t="s">
        <v>54</v>
      </c>
      <c r="G85" s="40" t="s">
        <v>54</v>
      </c>
      <c r="H85" s="40" t="s">
        <v>54</v>
      </c>
    </row>
    <row r="86" spans="1:8">
      <c r="A86" s="45" t="s">
        <v>109</v>
      </c>
      <c r="B86" s="40">
        <v>2030</v>
      </c>
      <c r="C86" s="40" t="s">
        <v>59</v>
      </c>
      <c r="D86" s="40" t="s">
        <v>59</v>
      </c>
      <c r="E86" s="40" t="s">
        <v>59</v>
      </c>
      <c r="F86" s="40" t="s">
        <v>59</v>
      </c>
      <c r="G86" s="40" t="s">
        <v>54</v>
      </c>
      <c r="H86" s="40" t="s">
        <v>54</v>
      </c>
    </row>
    <row r="87" spans="1:8">
      <c r="A87" s="45" t="s">
        <v>110</v>
      </c>
      <c r="B87" s="40">
        <v>2040</v>
      </c>
      <c r="C87" s="40" t="s">
        <v>59</v>
      </c>
      <c r="D87" s="40" t="s">
        <v>59</v>
      </c>
      <c r="E87" s="40" t="s">
        <v>59</v>
      </c>
      <c r="F87" s="40" t="s">
        <v>59</v>
      </c>
      <c r="G87" s="40" t="s">
        <v>54</v>
      </c>
      <c r="H87" s="40" t="s">
        <v>54</v>
      </c>
    </row>
    <row r="88" spans="1:8">
      <c r="A88" s="45" t="s">
        <v>111</v>
      </c>
      <c r="B88" s="40">
        <v>2050</v>
      </c>
      <c r="C88" s="40" t="s">
        <v>59</v>
      </c>
      <c r="D88" s="40" t="s">
        <v>59</v>
      </c>
      <c r="E88" s="40" t="s">
        <v>59</v>
      </c>
      <c r="F88" s="40" t="s">
        <v>59</v>
      </c>
      <c r="G88" s="40" t="s">
        <v>54</v>
      </c>
      <c r="H88" s="40" t="s">
        <v>54</v>
      </c>
    </row>
    <row r="89" spans="1:8">
      <c r="A89" s="45" t="s">
        <v>112</v>
      </c>
      <c r="B89" s="40">
        <v>2060</v>
      </c>
      <c r="C89" s="40" t="s">
        <v>59</v>
      </c>
      <c r="D89" s="40" t="s">
        <v>59</v>
      </c>
      <c r="E89" s="40" t="s">
        <v>59</v>
      </c>
      <c r="F89" s="40" t="s">
        <v>59</v>
      </c>
      <c r="G89" s="40" t="s">
        <v>54</v>
      </c>
      <c r="H89" s="40" t="s">
        <v>54</v>
      </c>
    </row>
    <row r="90" spans="1:8" ht="47.25">
      <c r="A90" s="45" t="s">
        <v>113</v>
      </c>
      <c r="B90" s="40">
        <v>2070</v>
      </c>
      <c r="C90" s="82">
        <f>табл.2!C20</f>
        <v>1034.2800000000013</v>
      </c>
      <c r="D90" s="82">
        <f>табл.2!D20</f>
        <v>389.39000000000112</v>
      </c>
      <c r="E90" s="82">
        <f>табл.2!E20</f>
        <v>-1.4552803406786552E-12</v>
      </c>
      <c r="F90" s="82">
        <f>табл.2!F20</f>
        <v>389.39000000000112</v>
      </c>
      <c r="G90" s="83">
        <f>табл.2!G20</f>
        <v>-644.80999999999744</v>
      </c>
      <c r="H90" s="83" t="str">
        <f>табл.2!H20</f>
        <v>-</v>
      </c>
    </row>
    <row r="91" spans="1:8">
      <c r="A91" s="125" t="s">
        <v>114</v>
      </c>
      <c r="B91" s="125"/>
      <c r="C91" s="125"/>
      <c r="D91" s="125"/>
      <c r="E91" s="125"/>
      <c r="F91" s="125"/>
      <c r="G91" s="125"/>
      <c r="H91" s="125"/>
    </row>
    <row r="92" spans="1:8" ht="63">
      <c r="A92" s="43" t="s">
        <v>115</v>
      </c>
      <c r="B92" s="44">
        <v>2110</v>
      </c>
      <c r="C92" s="80">
        <f>табл.2!C22</f>
        <v>62.52</v>
      </c>
      <c r="D92" s="80">
        <f>табл.2!D22</f>
        <v>138.84</v>
      </c>
      <c r="E92" s="80">
        <f>табл.2!E22</f>
        <v>166.96</v>
      </c>
      <c r="F92" s="80">
        <f>табл.2!F22</f>
        <v>138.84</v>
      </c>
      <c r="G92" s="80">
        <f>табл.2!G22</f>
        <v>-28.120000000000005</v>
      </c>
      <c r="H92" s="80">
        <f>табл.2!H22</f>
        <v>83.157642549113547</v>
      </c>
    </row>
    <row r="93" spans="1:8">
      <c r="A93" s="45" t="s">
        <v>116</v>
      </c>
      <c r="B93" s="40">
        <v>2111</v>
      </c>
      <c r="C93" s="40" t="s">
        <v>54</v>
      </c>
      <c r="D93" s="40" t="s">
        <v>54</v>
      </c>
      <c r="E93" s="40" t="s">
        <v>54</v>
      </c>
      <c r="F93" s="40" t="s">
        <v>54</v>
      </c>
      <c r="G93" s="40" t="s">
        <v>54</v>
      </c>
      <c r="H93" s="40" t="s">
        <v>54</v>
      </c>
    </row>
    <row r="94" spans="1:8" ht="31.5">
      <c r="A94" s="45" t="s">
        <v>117</v>
      </c>
      <c r="B94" s="40">
        <v>2112</v>
      </c>
      <c r="C94" s="40" t="s">
        <v>54</v>
      </c>
      <c r="D94" s="40" t="s">
        <v>54</v>
      </c>
      <c r="E94" s="40" t="s">
        <v>54</v>
      </c>
      <c r="F94" s="40" t="s">
        <v>54</v>
      </c>
      <c r="G94" s="40" t="s">
        <v>54</v>
      </c>
      <c r="H94" s="40" t="s">
        <v>54</v>
      </c>
    </row>
    <row r="95" spans="1:8" ht="31.5">
      <c r="A95" s="45" t="s">
        <v>118</v>
      </c>
      <c r="B95" s="40">
        <v>2113</v>
      </c>
      <c r="C95" s="40" t="s">
        <v>59</v>
      </c>
      <c r="D95" s="40" t="s">
        <v>59</v>
      </c>
      <c r="E95" s="40" t="s">
        <v>59</v>
      </c>
      <c r="F95" s="40" t="s">
        <v>59</v>
      </c>
      <c r="G95" s="40" t="s">
        <v>54</v>
      </c>
      <c r="H95" s="40" t="s">
        <v>54</v>
      </c>
    </row>
    <row r="96" spans="1:8">
      <c r="A96" s="45" t="s">
        <v>119</v>
      </c>
      <c r="B96" s="40">
        <v>2114</v>
      </c>
      <c r="C96" s="40" t="s">
        <v>54</v>
      </c>
      <c r="D96" s="40" t="s">
        <v>54</v>
      </c>
      <c r="E96" s="40" t="s">
        <v>54</v>
      </c>
      <c r="F96" s="40" t="s">
        <v>54</v>
      </c>
      <c r="G96" s="40" t="s">
        <v>54</v>
      </c>
      <c r="H96" s="40" t="s">
        <v>54</v>
      </c>
    </row>
    <row r="97" spans="1:8" ht="47.25">
      <c r="A97" s="45" t="s">
        <v>120</v>
      </c>
      <c r="B97" s="40">
        <v>2115</v>
      </c>
      <c r="C97" s="40" t="s">
        <v>54</v>
      </c>
      <c r="D97" s="40" t="s">
        <v>54</v>
      </c>
      <c r="E97" s="40" t="s">
        <v>54</v>
      </c>
      <c r="F97" s="40" t="s">
        <v>54</v>
      </c>
      <c r="G97" s="40" t="s">
        <v>54</v>
      </c>
      <c r="H97" s="40" t="s">
        <v>54</v>
      </c>
    </row>
    <row r="98" spans="1:8">
      <c r="A98" s="45" t="s">
        <v>121</v>
      </c>
      <c r="B98" s="40">
        <v>2116</v>
      </c>
      <c r="C98" s="40" t="s">
        <v>54</v>
      </c>
      <c r="D98" s="40" t="s">
        <v>54</v>
      </c>
      <c r="E98" s="40" t="s">
        <v>54</v>
      </c>
      <c r="F98" s="40" t="s">
        <v>54</v>
      </c>
      <c r="G98" s="40" t="s">
        <v>54</v>
      </c>
      <c r="H98" s="40" t="s">
        <v>54</v>
      </c>
    </row>
    <row r="99" spans="1:8">
      <c r="A99" s="45" t="s">
        <v>122</v>
      </c>
      <c r="B99" s="40">
        <v>2117</v>
      </c>
      <c r="C99" s="40" t="s">
        <v>54</v>
      </c>
      <c r="D99" s="40" t="s">
        <v>54</v>
      </c>
      <c r="E99" s="40" t="s">
        <v>54</v>
      </c>
      <c r="F99" s="40" t="s">
        <v>54</v>
      </c>
      <c r="G99" s="40" t="s">
        <v>54</v>
      </c>
      <c r="H99" s="40" t="s">
        <v>54</v>
      </c>
    </row>
    <row r="100" spans="1:8" ht="31.5">
      <c r="A100" s="43" t="s">
        <v>123</v>
      </c>
      <c r="B100" s="44">
        <v>2120</v>
      </c>
      <c r="C100" s="80">
        <f>табл.2!C32</f>
        <v>746.48</v>
      </c>
      <c r="D100" s="80">
        <f>табл.2!D32</f>
        <v>1656.34</v>
      </c>
      <c r="E100" s="80">
        <f>табл.2!E32</f>
        <v>2007</v>
      </c>
      <c r="F100" s="80">
        <f>табл.2!F32</f>
        <v>1656.34</v>
      </c>
      <c r="G100" s="80">
        <f>табл.2!G32</f>
        <v>-350.66000000000008</v>
      </c>
      <c r="H100" s="80">
        <f>табл.2!H32</f>
        <v>82.528151469855501</v>
      </c>
    </row>
    <row r="101" spans="1:8" ht="31.5">
      <c r="A101" s="43" t="s">
        <v>124</v>
      </c>
      <c r="B101" s="119">
        <v>2130</v>
      </c>
      <c r="C101" s="124">
        <f>табл.2!C37</f>
        <v>956.67</v>
      </c>
      <c r="D101" s="124">
        <f>табл.2!D37</f>
        <v>2065.8000000000002</v>
      </c>
      <c r="E101" s="124">
        <f>табл.2!E37</f>
        <v>2448.77</v>
      </c>
      <c r="F101" s="124">
        <f>табл.2!F37</f>
        <v>2065.8000000000002</v>
      </c>
      <c r="G101" s="124">
        <f>табл.2!G37</f>
        <v>-382.9699999999998</v>
      </c>
      <c r="H101" s="124">
        <f>табл.2!H37</f>
        <v>84.360719871609021</v>
      </c>
    </row>
    <row r="102" spans="1:8">
      <c r="A102" s="43" t="s">
        <v>125</v>
      </c>
      <c r="B102" s="119"/>
      <c r="C102" s="119"/>
      <c r="D102" s="119"/>
      <c r="E102" s="119"/>
      <c r="F102" s="119"/>
      <c r="G102" s="119"/>
      <c r="H102" s="119"/>
    </row>
    <row r="103" spans="1:8" ht="94.5">
      <c r="A103" s="45" t="s">
        <v>126</v>
      </c>
      <c r="B103" s="40">
        <v>2131</v>
      </c>
      <c r="C103" s="40" t="s">
        <v>54</v>
      </c>
      <c r="D103" s="40" t="s">
        <v>54</v>
      </c>
      <c r="E103" s="40" t="s">
        <v>54</v>
      </c>
      <c r="F103" s="40" t="s">
        <v>54</v>
      </c>
      <c r="G103" s="40" t="s">
        <v>54</v>
      </c>
      <c r="H103" s="40" t="s">
        <v>54</v>
      </c>
    </row>
    <row r="104" spans="1:8" ht="31.5">
      <c r="A104" s="45" t="s">
        <v>127</v>
      </c>
      <c r="B104" s="40">
        <v>2133</v>
      </c>
      <c r="C104" s="81">
        <f>табл.2!C40</f>
        <v>952.99</v>
      </c>
      <c r="D104" s="81">
        <f>табл.2!D40</f>
        <v>2061.38</v>
      </c>
      <c r="E104" s="81">
        <f>табл.2!E40</f>
        <v>2448.77</v>
      </c>
      <c r="F104" s="81">
        <f>табл.2!F40</f>
        <v>2061.38</v>
      </c>
      <c r="G104" s="81">
        <f>табл.2!G40</f>
        <v>-387.38999999999987</v>
      </c>
      <c r="H104" s="81">
        <f>табл.2!H40</f>
        <v>84.180221090588333</v>
      </c>
    </row>
    <row r="105" spans="1:8">
      <c r="A105" s="43" t="s">
        <v>128</v>
      </c>
      <c r="B105" s="44">
        <v>2200</v>
      </c>
      <c r="C105" s="80">
        <f>табл.2!C45</f>
        <v>1765.67</v>
      </c>
      <c r="D105" s="80">
        <f>табл.2!D45</f>
        <v>3860.98</v>
      </c>
      <c r="E105" s="80">
        <f>табл.2!E45</f>
        <v>4622.7299999999996</v>
      </c>
      <c r="F105" s="80">
        <f>табл.2!F45</f>
        <v>3860.98</v>
      </c>
      <c r="G105" s="80">
        <f>табл.2!G45</f>
        <v>-761.74999999999955</v>
      </c>
      <c r="H105" s="80">
        <f>табл.2!H45</f>
        <v>83.521641973465904</v>
      </c>
    </row>
    <row r="106" spans="1:8">
      <c r="A106" s="119" t="s">
        <v>129</v>
      </c>
      <c r="B106" s="119"/>
      <c r="C106" s="119"/>
      <c r="D106" s="119"/>
      <c r="E106" s="119"/>
      <c r="F106" s="119"/>
      <c r="G106" s="119"/>
      <c r="H106" s="119"/>
    </row>
    <row r="107" spans="1:8">
      <c r="A107" s="43" t="s">
        <v>130</v>
      </c>
      <c r="B107" s="44">
        <v>3405</v>
      </c>
      <c r="C107" s="80">
        <f>табл.3!C90</f>
        <v>0</v>
      </c>
      <c r="D107" s="80">
        <f>табл.3!D90</f>
        <v>1446.5</v>
      </c>
      <c r="E107" s="80">
        <f>табл.3!E90</f>
        <v>0</v>
      </c>
      <c r="F107" s="80">
        <f>табл.3!F90</f>
        <v>1446.5</v>
      </c>
      <c r="G107" s="80" t="str">
        <f>табл.3!G90</f>
        <v>-</v>
      </c>
      <c r="H107" s="80" t="str">
        <f>табл.3!H90</f>
        <v>-</v>
      </c>
    </row>
    <row r="108" spans="1:8">
      <c r="A108" s="45" t="s">
        <v>131</v>
      </c>
      <c r="B108" s="40">
        <v>3030</v>
      </c>
      <c r="C108" s="81">
        <f>табл.3!C12</f>
        <v>4523.8599999999997</v>
      </c>
      <c r="D108" s="81">
        <f>табл.3!D12</f>
        <v>7987.62</v>
      </c>
      <c r="E108" s="81">
        <f>табл.3!E12</f>
        <v>8273.2999999999993</v>
      </c>
      <c r="F108" s="81">
        <f>табл.3!F12</f>
        <v>7987.62</v>
      </c>
      <c r="G108" s="81">
        <f>табл.3!G12</f>
        <v>-285.67999999999938</v>
      </c>
      <c r="H108" s="81">
        <f>табл.3!H12</f>
        <v>96.546964331040826</v>
      </c>
    </row>
    <row r="109" spans="1:8" ht="31.5">
      <c r="A109" s="45" t="s">
        <v>132</v>
      </c>
      <c r="B109" s="40">
        <v>3195</v>
      </c>
      <c r="C109" s="81">
        <f>табл.3!C50</f>
        <v>1446.4799999999987</v>
      </c>
      <c r="D109" s="81">
        <f>табл.3!D50</f>
        <v>-406.06999999999971</v>
      </c>
      <c r="E109" s="81">
        <f>табл.3!E50</f>
        <v>0</v>
      </c>
      <c r="F109" s="81">
        <f>табл.3!F50</f>
        <v>-406.06999999999971</v>
      </c>
      <c r="G109" s="81">
        <f>табл.3!G50</f>
        <v>-406.06999999999971</v>
      </c>
      <c r="H109" s="81" t="str">
        <f>табл.3!H50</f>
        <v>-</v>
      </c>
    </row>
    <row r="110" spans="1:8" ht="31.5">
      <c r="A110" s="45" t="s">
        <v>133</v>
      </c>
      <c r="B110" s="40">
        <v>3295</v>
      </c>
      <c r="C110" s="61" t="str">
        <f>табл.3!C69</f>
        <v>-</v>
      </c>
      <c r="D110" s="61" t="str">
        <f>табл.3!D69</f>
        <v>-</v>
      </c>
      <c r="E110" s="61" t="str">
        <f>табл.3!E69</f>
        <v>-</v>
      </c>
      <c r="F110" s="40" t="str">
        <f>табл.3!F69</f>
        <v>-</v>
      </c>
      <c r="G110" s="61" t="str">
        <f>табл.3!G69</f>
        <v>-</v>
      </c>
      <c r="H110" s="61" t="str">
        <f>табл.3!H69</f>
        <v>-</v>
      </c>
    </row>
    <row r="111" spans="1:8" ht="31.5">
      <c r="A111" s="45" t="s">
        <v>134</v>
      </c>
      <c r="B111" s="40">
        <v>3395</v>
      </c>
      <c r="C111" s="61" t="str">
        <f>табл.3!C88</f>
        <v>-</v>
      </c>
      <c r="D111" s="61" t="str">
        <f>табл.3!D88</f>
        <v>-</v>
      </c>
      <c r="E111" s="61" t="str">
        <f>табл.3!E88</f>
        <v>-</v>
      </c>
      <c r="F111" s="40" t="str">
        <f>табл.3!F88</f>
        <v>-</v>
      </c>
      <c r="G111" s="61" t="str">
        <f>табл.3!G88</f>
        <v>-</v>
      </c>
      <c r="H111" s="61" t="str">
        <f>табл.3!H88</f>
        <v>-</v>
      </c>
    </row>
    <row r="112" spans="1:8" ht="31.5">
      <c r="A112" s="45" t="s">
        <v>135</v>
      </c>
      <c r="B112" s="40">
        <v>3410</v>
      </c>
      <c r="C112" s="81">
        <f>табл.3!C91</f>
        <v>0</v>
      </c>
      <c r="D112" s="81">
        <f>табл.3!D91</f>
        <v>0</v>
      </c>
      <c r="E112" s="81">
        <f>табл.3!E91</f>
        <v>0</v>
      </c>
      <c r="F112" s="81">
        <f>табл.3!F91</f>
        <v>0</v>
      </c>
      <c r="G112" s="81" t="str">
        <f>табл.3!G91</f>
        <v>-</v>
      </c>
      <c r="H112" s="81" t="str">
        <f>табл.3!H91</f>
        <v>-</v>
      </c>
    </row>
    <row r="113" spans="1:8">
      <c r="A113" s="43" t="s">
        <v>136</v>
      </c>
      <c r="B113" s="44">
        <v>3415</v>
      </c>
      <c r="C113" s="79">
        <f>табл.3!C92</f>
        <v>1446.4799999999987</v>
      </c>
      <c r="D113" s="79">
        <f>табл.3!D92</f>
        <v>1040.4300000000003</v>
      </c>
      <c r="E113" s="79">
        <f>табл.3!E92</f>
        <v>0</v>
      </c>
      <c r="F113" s="79">
        <f>табл.3!F92</f>
        <v>1040.4300000000003</v>
      </c>
      <c r="G113" s="84">
        <f>табл.3!G92</f>
        <v>1040.4300000000003</v>
      </c>
      <c r="H113" s="84" t="str">
        <f>табл.3!H92</f>
        <v>-</v>
      </c>
    </row>
    <row r="114" spans="1:8">
      <c r="A114" s="119" t="s">
        <v>137</v>
      </c>
      <c r="B114" s="119"/>
      <c r="C114" s="119"/>
      <c r="D114" s="119"/>
      <c r="E114" s="119"/>
      <c r="F114" s="119"/>
      <c r="G114" s="119"/>
      <c r="H114" s="119"/>
    </row>
    <row r="115" spans="1:8" ht="31.5">
      <c r="A115" s="43" t="s">
        <v>138</v>
      </c>
      <c r="B115" s="44">
        <v>4000</v>
      </c>
      <c r="C115" s="79">
        <f>C118</f>
        <v>84.84</v>
      </c>
      <c r="D115" s="79">
        <f t="shared" ref="D115:H115" si="0">D118</f>
        <v>143.99</v>
      </c>
      <c r="E115" s="79">
        <f t="shared" si="0"/>
        <v>0</v>
      </c>
      <c r="F115" s="79">
        <f t="shared" si="0"/>
        <v>143.99</v>
      </c>
      <c r="G115" s="84">
        <f t="shared" si="0"/>
        <v>143.99</v>
      </c>
      <c r="H115" s="84" t="e">
        <f t="shared" si="0"/>
        <v>#DIV/0!</v>
      </c>
    </row>
    <row r="116" spans="1:8">
      <c r="A116" s="45" t="s">
        <v>139</v>
      </c>
      <c r="B116" s="40">
        <v>4010</v>
      </c>
      <c r="C116" s="40" t="s">
        <v>54</v>
      </c>
      <c r="D116" s="40" t="s">
        <v>54</v>
      </c>
      <c r="E116" s="40" t="s">
        <v>54</v>
      </c>
      <c r="F116" s="40" t="s">
        <v>54</v>
      </c>
      <c r="G116" s="40" t="s">
        <v>54</v>
      </c>
      <c r="H116" s="40" t="s">
        <v>54</v>
      </c>
    </row>
    <row r="117" spans="1:8" ht="31.5">
      <c r="A117" s="45" t="s">
        <v>140</v>
      </c>
      <c r="B117" s="40">
        <v>4020</v>
      </c>
      <c r="C117" s="40" t="s">
        <v>54</v>
      </c>
      <c r="D117" s="40" t="s">
        <v>54</v>
      </c>
      <c r="E117" s="40" t="s">
        <v>54</v>
      </c>
      <c r="F117" s="40" t="s">
        <v>54</v>
      </c>
      <c r="G117" s="40" t="s">
        <v>54</v>
      </c>
      <c r="H117" s="40" t="s">
        <v>54</v>
      </c>
    </row>
    <row r="118" spans="1:8" ht="31.5">
      <c r="A118" s="45" t="s">
        <v>141</v>
      </c>
      <c r="B118" s="40">
        <v>4030</v>
      </c>
      <c r="C118" s="81">
        <f>табл.4!C11</f>
        <v>84.84</v>
      </c>
      <c r="D118" s="81">
        <f>табл.4!D11</f>
        <v>143.99</v>
      </c>
      <c r="E118" s="81">
        <f>табл.4!E11</f>
        <v>0</v>
      </c>
      <c r="F118" s="81">
        <f>табл.4!F11</f>
        <v>143.99</v>
      </c>
      <c r="G118" s="81">
        <f>табл.4!G11</f>
        <v>143.99</v>
      </c>
      <c r="H118" s="81" t="e">
        <f>табл.4!H11</f>
        <v>#DIV/0!</v>
      </c>
    </row>
    <row r="119" spans="1:8" ht="31.5">
      <c r="A119" s="45" t="s">
        <v>142</v>
      </c>
      <c r="B119" s="40">
        <v>4040</v>
      </c>
      <c r="C119" s="40" t="s">
        <v>54</v>
      </c>
      <c r="D119" s="40" t="s">
        <v>54</v>
      </c>
      <c r="E119" s="40" t="s">
        <v>54</v>
      </c>
      <c r="F119" s="40" t="s">
        <v>54</v>
      </c>
      <c r="G119" s="40" t="s">
        <v>54</v>
      </c>
      <c r="H119" s="40" t="s">
        <v>54</v>
      </c>
    </row>
    <row r="120" spans="1:8" ht="47.25">
      <c r="A120" s="45" t="s">
        <v>143</v>
      </c>
      <c r="B120" s="40">
        <v>4050</v>
      </c>
      <c r="C120" s="40" t="s">
        <v>54</v>
      </c>
      <c r="D120" s="40" t="s">
        <v>54</v>
      </c>
      <c r="E120" s="40" t="s">
        <v>54</v>
      </c>
      <c r="F120" s="40" t="s">
        <v>54</v>
      </c>
      <c r="G120" s="40" t="s">
        <v>54</v>
      </c>
      <c r="H120" s="40" t="s">
        <v>54</v>
      </c>
    </row>
    <row r="121" spans="1:8">
      <c r="A121" s="45" t="s">
        <v>144</v>
      </c>
      <c r="B121" s="40">
        <v>4060</v>
      </c>
      <c r="C121" s="40" t="s">
        <v>54</v>
      </c>
      <c r="D121" s="40" t="s">
        <v>54</v>
      </c>
      <c r="E121" s="40" t="s">
        <v>54</v>
      </c>
      <c r="F121" s="40" t="s">
        <v>54</v>
      </c>
      <c r="G121" s="40" t="s">
        <v>54</v>
      </c>
      <c r="H121" s="40" t="s">
        <v>54</v>
      </c>
    </row>
    <row r="122" spans="1:8" ht="31.5">
      <c r="A122" s="43" t="s">
        <v>145</v>
      </c>
      <c r="B122" s="44">
        <v>4000</v>
      </c>
      <c r="C122" s="79">
        <f>C124</f>
        <v>84.84</v>
      </c>
      <c r="D122" s="79">
        <f t="shared" ref="D122:F122" si="1">D124</f>
        <v>143.99</v>
      </c>
      <c r="E122" s="79">
        <f t="shared" si="1"/>
        <v>0</v>
      </c>
      <c r="F122" s="79">
        <f t="shared" si="1"/>
        <v>143.99</v>
      </c>
      <c r="G122" s="84">
        <f>F122-E122</f>
        <v>143.99</v>
      </c>
      <c r="H122" s="84" t="e">
        <f>F122/E122*100</f>
        <v>#DIV/0!</v>
      </c>
    </row>
    <row r="123" spans="1:8" ht="31.5">
      <c r="A123" s="45" t="s">
        <v>146</v>
      </c>
      <c r="B123" s="40" t="s">
        <v>147</v>
      </c>
      <c r="C123" s="40" t="s">
        <v>91</v>
      </c>
      <c r="D123" s="40" t="s">
        <v>91</v>
      </c>
      <c r="E123" s="40" t="s">
        <v>54</v>
      </c>
      <c r="F123" s="40" t="s">
        <v>54</v>
      </c>
      <c r="G123" s="40" t="s">
        <v>54</v>
      </c>
      <c r="H123" s="40" t="s">
        <v>54</v>
      </c>
    </row>
    <row r="124" spans="1:8" ht="31.5">
      <c r="A124" s="45" t="s">
        <v>148</v>
      </c>
      <c r="B124" s="40" t="s">
        <v>149</v>
      </c>
      <c r="C124" s="81">
        <f>C118</f>
        <v>84.84</v>
      </c>
      <c r="D124" s="81">
        <f t="shared" ref="D124:H124" si="2">D118</f>
        <v>143.99</v>
      </c>
      <c r="E124" s="81">
        <f t="shared" si="2"/>
        <v>0</v>
      </c>
      <c r="F124" s="81">
        <f t="shared" si="2"/>
        <v>143.99</v>
      </c>
      <c r="G124" s="81">
        <f t="shared" si="2"/>
        <v>143.99</v>
      </c>
      <c r="H124" s="81" t="e">
        <f t="shared" si="2"/>
        <v>#DIV/0!</v>
      </c>
    </row>
    <row r="125" spans="1:8" ht="31.5">
      <c r="A125" s="45" t="s">
        <v>150</v>
      </c>
      <c r="B125" s="40" t="s">
        <v>151</v>
      </c>
      <c r="C125" s="40" t="s">
        <v>91</v>
      </c>
      <c r="D125" s="40" t="s">
        <v>91</v>
      </c>
      <c r="E125" s="40" t="s">
        <v>54</v>
      </c>
      <c r="F125" s="40" t="s">
        <v>54</v>
      </c>
      <c r="G125" s="40" t="s">
        <v>54</v>
      </c>
      <c r="H125" s="40" t="s">
        <v>54</v>
      </c>
    </row>
    <row r="126" spans="1:8" ht="31.5">
      <c r="A126" s="45" t="s">
        <v>152</v>
      </c>
      <c r="B126" s="40" t="s">
        <v>153</v>
      </c>
      <c r="C126" s="40" t="s">
        <v>91</v>
      </c>
      <c r="D126" s="40" t="s">
        <v>91</v>
      </c>
      <c r="E126" s="40" t="s">
        <v>54</v>
      </c>
      <c r="F126" s="40" t="s">
        <v>54</v>
      </c>
      <c r="G126" s="40" t="s">
        <v>54</v>
      </c>
      <c r="H126" s="40" t="s">
        <v>54</v>
      </c>
    </row>
    <row r="127" spans="1:8">
      <c r="A127" s="119" t="s">
        <v>154</v>
      </c>
      <c r="B127" s="119"/>
      <c r="C127" s="119"/>
      <c r="D127" s="119"/>
      <c r="E127" s="119"/>
      <c r="F127" s="119"/>
      <c r="G127" s="119"/>
      <c r="H127" s="119"/>
    </row>
    <row r="128" spans="1:8">
      <c r="A128" s="45" t="s">
        <v>155</v>
      </c>
      <c r="B128" s="40">
        <v>5040</v>
      </c>
      <c r="C128" s="88">
        <f>табл.5!D16</f>
        <v>12.31243207079757</v>
      </c>
      <c r="D128" s="88">
        <f>табл.5!E16</f>
        <v>-4.2309895493291672</v>
      </c>
      <c r="E128" s="88">
        <f>табл.5!F16</f>
        <v>-7.9129984741384803E-15</v>
      </c>
      <c r="F128" s="40" t="s">
        <v>156</v>
      </c>
      <c r="G128" s="40" t="s">
        <v>91</v>
      </c>
      <c r="H128" s="40" t="s">
        <v>91</v>
      </c>
    </row>
    <row r="129" spans="1:8">
      <c r="A129" s="45" t="s">
        <v>157</v>
      </c>
      <c r="B129" s="40">
        <v>5020</v>
      </c>
      <c r="C129" s="88" t="e">
        <f>табл.5!D12</f>
        <v>#DIV/0!</v>
      </c>
      <c r="D129" s="88" t="e">
        <f>табл.5!E12</f>
        <v>#DIV/0!</v>
      </c>
      <c r="E129" s="88" t="e">
        <f>табл.5!F12</f>
        <v>#DIV/0!</v>
      </c>
      <c r="F129" s="40" t="s">
        <v>156</v>
      </c>
      <c r="G129" s="40" t="s">
        <v>91</v>
      </c>
      <c r="H129" s="40" t="s">
        <v>91</v>
      </c>
    </row>
    <row r="130" spans="1:8">
      <c r="A130" s="45" t="s">
        <v>158</v>
      </c>
      <c r="B130" s="40">
        <v>5030</v>
      </c>
      <c r="C130" s="88">
        <f>табл.5!D14</f>
        <v>36.843173924659411</v>
      </c>
      <c r="D130" s="88">
        <f>табл.5!E14</f>
        <v>-23.524626048887228</v>
      </c>
      <c r="E130" s="88">
        <f>табл.5!F14</f>
        <v>-4.5833868977508095E-14</v>
      </c>
      <c r="F130" s="40" t="s">
        <v>156</v>
      </c>
      <c r="G130" s="40" t="s">
        <v>91</v>
      </c>
      <c r="H130" s="40" t="s">
        <v>91</v>
      </c>
    </row>
    <row r="131" spans="1:8">
      <c r="A131" s="45" t="s">
        <v>159</v>
      </c>
      <c r="B131" s="40">
        <v>5110</v>
      </c>
      <c r="C131" s="88" t="e">
        <f>табл.5!D21</f>
        <v>#DIV/0!</v>
      </c>
      <c r="D131" s="88" t="e">
        <f>табл.5!E21</f>
        <v>#DIV/0!</v>
      </c>
      <c r="E131" s="88" t="e">
        <f>табл.5!F21</f>
        <v>#DIV/0!</v>
      </c>
      <c r="F131" s="40" t="s">
        <v>156</v>
      </c>
      <c r="G131" s="40" t="s">
        <v>91</v>
      </c>
      <c r="H131" s="40" t="s">
        <v>91</v>
      </c>
    </row>
    <row r="132" spans="1:8">
      <c r="A132" s="45" t="s">
        <v>160</v>
      </c>
      <c r="B132" s="40">
        <v>5220</v>
      </c>
      <c r="C132" s="88">
        <f>табл.5!D30</f>
        <v>0.74160656119758628</v>
      </c>
      <c r="D132" s="88">
        <f>табл.5!E30</f>
        <v>0.7638648554657449</v>
      </c>
      <c r="E132" s="88">
        <f>табл.5!F30</f>
        <v>0.73564312261121656</v>
      </c>
      <c r="F132" s="40" t="s">
        <v>156</v>
      </c>
      <c r="G132" s="40" t="s">
        <v>91</v>
      </c>
      <c r="H132" s="40" t="s">
        <v>91</v>
      </c>
    </row>
    <row r="133" spans="1:8">
      <c r="A133" s="119" t="s">
        <v>161</v>
      </c>
      <c r="B133" s="119"/>
      <c r="C133" s="119"/>
      <c r="D133" s="119"/>
      <c r="E133" s="119"/>
      <c r="F133" s="119"/>
      <c r="G133" s="119"/>
      <c r="H133" s="119"/>
    </row>
    <row r="134" spans="1:8">
      <c r="A134" s="45" t="s">
        <v>162</v>
      </c>
      <c r="B134" s="40">
        <v>6000</v>
      </c>
      <c r="C134" s="40">
        <v>9930.6</v>
      </c>
      <c r="D134" s="87">
        <v>10276</v>
      </c>
      <c r="E134" s="40">
        <v>9889.7900000000009</v>
      </c>
      <c r="F134" s="40" t="s">
        <v>156</v>
      </c>
      <c r="G134" s="40" t="s">
        <v>54</v>
      </c>
      <c r="H134" s="40" t="s">
        <v>54</v>
      </c>
    </row>
    <row r="135" spans="1:8">
      <c r="A135" s="45" t="s">
        <v>163</v>
      </c>
      <c r="B135" s="40">
        <v>6001</v>
      </c>
      <c r="C135" s="47">
        <f t="shared" ref="C135:D135" si="3">C136-C137</f>
        <v>2372.6899999999996</v>
      </c>
      <c r="D135" s="47">
        <f t="shared" si="3"/>
        <v>2240.71</v>
      </c>
      <c r="E135" s="47">
        <f>E136-E137</f>
        <v>2405.5999999999995</v>
      </c>
      <c r="F135" s="40" t="s">
        <v>156</v>
      </c>
      <c r="G135" s="40" t="s">
        <v>54</v>
      </c>
      <c r="H135" s="40" t="s">
        <v>54</v>
      </c>
    </row>
    <row r="136" spans="1:8">
      <c r="A136" s="45" t="s">
        <v>164</v>
      </c>
      <c r="B136" s="40">
        <v>6002</v>
      </c>
      <c r="C136" s="40">
        <v>9182.4699999999993</v>
      </c>
      <c r="D136" s="87">
        <v>9489.1</v>
      </c>
      <c r="E136" s="40">
        <v>9099.82</v>
      </c>
      <c r="F136" s="40" t="s">
        <v>156</v>
      </c>
      <c r="G136" s="40" t="s">
        <v>54</v>
      </c>
      <c r="H136" s="40" t="s">
        <v>54</v>
      </c>
    </row>
    <row r="137" spans="1:8">
      <c r="A137" s="45" t="s">
        <v>165</v>
      </c>
      <c r="B137" s="40">
        <v>6003</v>
      </c>
      <c r="C137" s="40">
        <v>6809.78</v>
      </c>
      <c r="D137" s="87">
        <v>7248.39</v>
      </c>
      <c r="E137" s="40">
        <v>6694.22</v>
      </c>
      <c r="F137" s="40" t="s">
        <v>156</v>
      </c>
      <c r="G137" s="40" t="s">
        <v>54</v>
      </c>
      <c r="H137" s="40" t="s">
        <v>54</v>
      </c>
    </row>
    <row r="138" spans="1:8">
      <c r="A138" s="45" t="s">
        <v>166</v>
      </c>
      <c r="B138" s="40">
        <v>6010</v>
      </c>
      <c r="C138" s="40">
        <v>764.44</v>
      </c>
      <c r="D138" s="87">
        <v>1119</v>
      </c>
      <c r="E138" s="40">
        <v>845.71</v>
      </c>
      <c r="F138" s="40" t="s">
        <v>156</v>
      </c>
      <c r="G138" s="40" t="s">
        <v>54</v>
      </c>
      <c r="H138" s="40" t="s">
        <v>54</v>
      </c>
    </row>
    <row r="139" spans="1:8">
      <c r="A139" s="45" t="s">
        <v>167</v>
      </c>
      <c r="B139" s="40">
        <v>6011</v>
      </c>
      <c r="C139" s="40"/>
      <c r="D139" s="83">
        <f>табл.3!F92</f>
        <v>1040.4300000000003</v>
      </c>
      <c r="E139" s="40"/>
      <c r="F139" s="40" t="s">
        <v>156</v>
      </c>
      <c r="G139" s="40" t="s">
        <v>54</v>
      </c>
      <c r="H139" s="40" t="s">
        <v>54</v>
      </c>
    </row>
    <row r="140" spans="1:8">
      <c r="A140" s="43" t="s">
        <v>168</v>
      </c>
      <c r="B140" s="44">
        <v>6020</v>
      </c>
      <c r="C140" s="40"/>
      <c r="D140" s="87"/>
      <c r="E140" s="40"/>
      <c r="F140" s="44" t="s">
        <v>156</v>
      </c>
      <c r="G140" s="44" t="s">
        <v>54</v>
      </c>
      <c r="H140" s="44" t="s">
        <v>54</v>
      </c>
    </row>
    <row r="141" spans="1:8" ht="31.5">
      <c r="A141" s="45" t="s">
        <v>169</v>
      </c>
      <c r="B141" s="40">
        <v>6030</v>
      </c>
      <c r="C141" s="40"/>
      <c r="D141" s="87"/>
      <c r="E141" s="40"/>
      <c r="F141" s="40" t="s">
        <v>156</v>
      </c>
      <c r="G141" s="40" t="s">
        <v>54</v>
      </c>
      <c r="H141" s="40" t="s">
        <v>54</v>
      </c>
    </row>
    <row r="142" spans="1:8">
      <c r="A142" s="45" t="s">
        <v>170</v>
      </c>
      <c r="B142" s="40">
        <v>6040</v>
      </c>
      <c r="C142" s="40"/>
      <c r="D142" s="87"/>
      <c r="E142" s="40"/>
      <c r="F142" s="40" t="s">
        <v>156</v>
      </c>
      <c r="G142" s="40" t="s">
        <v>54</v>
      </c>
      <c r="H142" s="40" t="s">
        <v>54</v>
      </c>
    </row>
    <row r="143" spans="1:8">
      <c r="A143" s="43" t="s">
        <v>171</v>
      </c>
      <c r="B143" s="44">
        <v>6050</v>
      </c>
      <c r="C143" s="48"/>
      <c r="D143" s="48"/>
      <c r="E143" s="48"/>
      <c r="F143" s="44" t="s">
        <v>156</v>
      </c>
      <c r="G143" s="44" t="s">
        <v>54</v>
      </c>
      <c r="H143" s="44" t="s">
        <v>54</v>
      </c>
    </row>
    <row r="144" spans="1:8">
      <c r="A144" s="45" t="s">
        <v>172</v>
      </c>
      <c r="B144" s="40">
        <v>6060</v>
      </c>
      <c r="C144" s="40"/>
      <c r="D144" s="87"/>
      <c r="E144" s="40"/>
      <c r="F144" s="40" t="s">
        <v>156</v>
      </c>
      <c r="G144" s="40" t="s">
        <v>54</v>
      </c>
      <c r="H144" s="40" t="s">
        <v>54</v>
      </c>
    </row>
    <row r="145" spans="1:8">
      <c r="A145" s="45" t="s">
        <v>173</v>
      </c>
      <c r="B145" s="40">
        <v>6070</v>
      </c>
      <c r="C145" s="40"/>
      <c r="D145" s="87"/>
      <c r="E145" s="40"/>
      <c r="F145" s="40" t="s">
        <v>156</v>
      </c>
      <c r="G145" s="40" t="s">
        <v>54</v>
      </c>
      <c r="H145" s="40" t="s">
        <v>54</v>
      </c>
    </row>
    <row r="146" spans="1:8">
      <c r="A146" s="43" t="s">
        <v>174</v>
      </c>
      <c r="B146" s="44">
        <v>6080</v>
      </c>
      <c r="C146" s="40">
        <v>2807.25</v>
      </c>
      <c r="D146" s="87">
        <v>2741</v>
      </c>
      <c r="E146" s="40">
        <v>3175.12</v>
      </c>
      <c r="F146" s="44" t="s">
        <v>156</v>
      </c>
      <c r="G146" s="44" t="s">
        <v>54</v>
      </c>
      <c r="H146" s="44" t="s">
        <v>54</v>
      </c>
    </row>
    <row r="147" spans="1:8">
      <c r="A147" s="119" t="s">
        <v>175</v>
      </c>
      <c r="B147" s="119"/>
      <c r="C147" s="119"/>
      <c r="D147" s="119"/>
      <c r="E147" s="119"/>
      <c r="F147" s="119"/>
      <c r="G147" s="119"/>
      <c r="H147" s="119"/>
    </row>
    <row r="148" spans="1:8" ht="31.5">
      <c r="A148" s="43" t="s">
        <v>176</v>
      </c>
      <c r="B148" s="44">
        <v>7000</v>
      </c>
      <c r="C148" s="46" t="s">
        <v>54</v>
      </c>
      <c r="D148" s="46" t="s">
        <v>54</v>
      </c>
      <c r="E148" s="46" t="s">
        <v>54</v>
      </c>
      <c r="F148" s="46" t="s">
        <v>54</v>
      </c>
      <c r="G148" s="44" t="s">
        <v>54</v>
      </c>
      <c r="H148" s="44" t="s">
        <v>54</v>
      </c>
    </row>
    <row r="149" spans="1:8">
      <c r="A149" s="45" t="s">
        <v>177</v>
      </c>
      <c r="B149" s="40">
        <v>7001</v>
      </c>
      <c r="C149" s="40" t="s">
        <v>91</v>
      </c>
      <c r="D149" s="40" t="s">
        <v>91</v>
      </c>
      <c r="E149" s="40" t="s">
        <v>54</v>
      </c>
      <c r="F149" s="40" t="s">
        <v>54</v>
      </c>
      <c r="G149" s="40" t="s">
        <v>54</v>
      </c>
      <c r="H149" s="40" t="s">
        <v>54</v>
      </c>
    </row>
    <row r="150" spans="1:8">
      <c r="A150" s="45" t="s">
        <v>178</v>
      </c>
      <c r="B150" s="40">
        <v>7002</v>
      </c>
      <c r="C150" s="40" t="s">
        <v>91</v>
      </c>
      <c r="D150" s="40" t="s">
        <v>91</v>
      </c>
      <c r="E150" s="40" t="s">
        <v>54</v>
      </c>
      <c r="F150" s="40" t="s">
        <v>54</v>
      </c>
      <c r="G150" s="40" t="s">
        <v>54</v>
      </c>
      <c r="H150" s="40" t="s">
        <v>54</v>
      </c>
    </row>
    <row r="151" spans="1:8">
      <c r="A151" s="45" t="s">
        <v>179</v>
      </c>
      <c r="B151" s="40">
        <v>7003</v>
      </c>
      <c r="C151" s="40" t="s">
        <v>91</v>
      </c>
      <c r="D151" s="40" t="s">
        <v>91</v>
      </c>
      <c r="E151" s="40" t="s">
        <v>54</v>
      </c>
      <c r="F151" s="40" t="s">
        <v>54</v>
      </c>
      <c r="G151" s="40" t="s">
        <v>54</v>
      </c>
      <c r="H151" s="40" t="s">
        <v>54</v>
      </c>
    </row>
    <row r="152" spans="1:8" ht="31.5">
      <c r="A152" s="43" t="s">
        <v>180</v>
      </c>
      <c r="B152" s="44">
        <v>7010</v>
      </c>
      <c r="C152" s="46" t="s">
        <v>54</v>
      </c>
      <c r="D152" s="46" t="s">
        <v>54</v>
      </c>
      <c r="E152" s="46" t="s">
        <v>54</v>
      </c>
      <c r="F152" s="46" t="s">
        <v>54</v>
      </c>
      <c r="G152" s="44" t="s">
        <v>54</v>
      </c>
      <c r="H152" s="44" t="s">
        <v>54</v>
      </c>
    </row>
    <row r="153" spans="1:8">
      <c r="A153" s="45" t="s">
        <v>177</v>
      </c>
      <c r="B153" s="40">
        <v>7011</v>
      </c>
      <c r="C153" s="40" t="s">
        <v>91</v>
      </c>
      <c r="D153" s="40" t="s">
        <v>91</v>
      </c>
      <c r="E153" s="40" t="s">
        <v>54</v>
      </c>
      <c r="F153" s="40" t="s">
        <v>54</v>
      </c>
      <c r="G153" s="40" t="s">
        <v>54</v>
      </c>
      <c r="H153" s="40" t="s">
        <v>54</v>
      </c>
    </row>
    <row r="154" spans="1:8">
      <c r="A154" s="45" t="s">
        <v>178</v>
      </c>
      <c r="B154" s="40">
        <v>7012</v>
      </c>
      <c r="C154" s="40" t="s">
        <v>91</v>
      </c>
      <c r="D154" s="40" t="s">
        <v>91</v>
      </c>
      <c r="E154" s="40" t="s">
        <v>54</v>
      </c>
      <c r="F154" s="40" t="s">
        <v>54</v>
      </c>
      <c r="G154" s="40" t="s">
        <v>54</v>
      </c>
      <c r="H154" s="40" t="s">
        <v>54</v>
      </c>
    </row>
    <row r="155" spans="1:8">
      <c r="A155" s="45" t="s">
        <v>179</v>
      </c>
      <c r="B155" s="40">
        <v>7013</v>
      </c>
      <c r="C155" s="40" t="s">
        <v>91</v>
      </c>
      <c r="D155" s="40" t="s">
        <v>91</v>
      </c>
      <c r="E155" s="40" t="s">
        <v>54</v>
      </c>
      <c r="F155" s="40" t="s">
        <v>54</v>
      </c>
      <c r="G155" s="40" t="s">
        <v>54</v>
      </c>
      <c r="H155" s="40" t="s">
        <v>54</v>
      </c>
    </row>
    <row r="156" spans="1:8">
      <c r="A156" s="119" t="s">
        <v>181</v>
      </c>
      <c r="B156" s="119"/>
      <c r="C156" s="119"/>
      <c r="D156" s="119"/>
      <c r="E156" s="119"/>
      <c r="F156" s="119"/>
      <c r="G156" s="119"/>
      <c r="H156" s="119"/>
    </row>
    <row r="157" spans="1:8" ht="78.75">
      <c r="A157" s="43" t="s">
        <v>182</v>
      </c>
      <c r="B157" s="44">
        <v>8000</v>
      </c>
      <c r="C157" s="46" t="s">
        <v>54</v>
      </c>
      <c r="D157" s="44" t="s">
        <v>156</v>
      </c>
      <c r="E157" s="79">
        <f>табл.6!C11</f>
        <v>104</v>
      </c>
      <c r="F157" s="79">
        <f>табл.6!D11</f>
        <v>104</v>
      </c>
      <c r="G157" s="84">
        <f>табл.6!E11</f>
        <v>0</v>
      </c>
      <c r="H157" s="84">
        <f>табл.6!F11</f>
        <v>100</v>
      </c>
    </row>
    <row r="158" spans="1:8">
      <c r="A158" s="45" t="s">
        <v>183</v>
      </c>
      <c r="B158" s="40">
        <v>8001</v>
      </c>
      <c r="C158" s="42" t="s">
        <v>54</v>
      </c>
      <c r="D158" s="40" t="s">
        <v>156</v>
      </c>
      <c r="E158" s="79" t="str">
        <f>табл.6!C12</f>
        <v/>
      </c>
      <c r="F158" s="79" t="str">
        <f>табл.6!D12</f>
        <v/>
      </c>
      <c r="G158" s="84" t="str">
        <f>табл.6!E12</f>
        <v>-</v>
      </c>
      <c r="H158" s="84" t="str">
        <f>табл.6!F12</f>
        <v>-</v>
      </c>
    </row>
    <row r="159" spans="1:8">
      <c r="A159" s="45" t="s">
        <v>184</v>
      </c>
      <c r="B159" s="40">
        <v>8002</v>
      </c>
      <c r="C159" s="42" t="s">
        <v>54</v>
      </c>
      <c r="D159" s="40" t="s">
        <v>156</v>
      </c>
      <c r="E159" s="79" t="str">
        <f>табл.6!C13</f>
        <v/>
      </c>
      <c r="F159" s="79" t="str">
        <f>табл.6!D13</f>
        <v/>
      </c>
      <c r="G159" s="84" t="str">
        <f>табл.6!E13</f>
        <v>-</v>
      </c>
      <c r="H159" s="84" t="str">
        <f>табл.6!F13</f>
        <v>-</v>
      </c>
    </row>
    <row r="160" spans="1:8">
      <c r="A160" s="45" t="s">
        <v>185</v>
      </c>
      <c r="B160" s="40">
        <v>8003</v>
      </c>
      <c r="C160" s="42" t="s">
        <v>54</v>
      </c>
      <c r="D160" s="40" t="s">
        <v>156</v>
      </c>
      <c r="E160" s="79">
        <f>табл.6!C14</f>
        <v>1</v>
      </c>
      <c r="F160" s="79">
        <f>табл.6!D14</f>
        <v>1</v>
      </c>
      <c r="G160" s="84">
        <f>табл.6!E14</f>
        <v>0</v>
      </c>
      <c r="H160" s="84">
        <f>табл.6!F14</f>
        <v>100</v>
      </c>
    </row>
    <row r="161" spans="1:8" ht="31.5">
      <c r="A161" s="45" t="s">
        <v>186</v>
      </c>
      <c r="B161" s="40">
        <v>8004</v>
      </c>
      <c r="C161" s="42" t="s">
        <v>54</v>
      </c>
      <c r="D161" s="40" t="s">
        <v>156</v>
      </c>
      <c r="E161" s="79">
        <f>табл.6!C15</f>
        <v>14</v>
      </c>
      <c r="F161" s="79">
        <f>табл.6!D15</f>
        <v>13</v>
      </c>
      <c r="G161" s="84">
        <f>табл.6!E15</f>
        <v>-1</v>
      </c>
      <c r="H161" s="84">
        <f>табл.6!F15</f>
        <v>92.857142857142861</v>
      </c>
    </row>
    <row r="162" spans="1:8">
      <c r="A162" s="45" t="s">
        <v>187</v>
      </c>
      <c r="B162" s="40">
        <v>8005</v>
      </c>
      <c r="C162" s="42" t="s">
        <v>54</v>
      </c>
      <c r="D162" s="40" t="s">
        <v>156</v>
      </c>
      <c r="E162" s="79">
        <f>табл.6!C16</f>
        <v>89</v>
      </c>
      <c r="F162" s="79">
        <f>табл.6!D16</f>
        <v>90</v>
      </c>
      <c r="G162" s="84">
        <f>табл.6!E16</f>
        <v>1</v>
      </c>
      <c r="H162" s="84">
        <f>табл.6!F16</f>
        <v>101.12359550561798</v>
      </c>
    </row>
    <row r="163" spans="1:8">
      <c r="A163" s="43" t="s">
        <v>95</v>
      </c>
      <c r="B163" s="44">
        <v>8010</v>
      </c>
      <c r="C163" s="46" t="s">
        <v>54</v>
      </c>
      <c r="D163" s="44" t="s">
        <v>156</v>
      </c>
      <c r="E163" s="79">
        <f>табл.6!C23</f>
        <v>11130.78</v>
      </c>
      <c r="F163" s="79">
        <f>табл.6!D23</f>
        <v>9191.5499999999993</v>
      </c>
      <c r="G163" s="84">
        <f>табл.6!E23</f>
        <v>-1939.2300000000014</v>
      </c>
      <c r="H163" s="84">
        <f>табл.6!F23</f>
        <v>82.577770830076588</v>
      </c>
    </row>
    <row r="164" spans="1:8" ht="47.25">
      <c r="A164" s="43" t="s">
        <v>188</v>
      </c>
      <c r="B164" s="44">
        <v>8020</v>
      </c>
      <c r="C164" s="46" t="s">
        <v>54</v>
      </c>
      <c r="D164" s="44" t="s">
        <v>156</v>
      </c>
      <c r="E164" s="80">
        <f>табл.6!C29</f>
        <v>8918.8942307692305</v>
      </c>
      <c r="F164" s="80">
        <f>табл.6!D29</f>
        <v>7365.0240384615381</v>
      </c>
      <c r="G164" s="84">
        <f>табл.6!E29</f>
        <v>-1553.8701923076924</v>
      </c>
      <c r="H164" s="84">
        <f>табл.6!F29</f>
        <v>82.577770830076602</v>
      </c>
    </row>
    <row r="165" spans="1:8">
      <c r="A165" s="45" t="s">
        <v>189</v>
      </c>
      <c r="B165" s="40">
        <v>8021</v>
      </c>
      <c r="C165" s="42" t="s">
        <v>54</v>
      </c>
      <c r="D165" s="40" t="s">
        <v>156</v>
      </c>
      <c r="E165" s="80">
        <f>табл.6!C30</f>
        <v>0</v>
      </c>
      <c r="F165" s="80">
        <f>табл.6!D30</f>
        <v>0</v>
      </c>
      <c r="G165" s="80">
        <f>табл.6!E30</f>
        <v>0</v>
      </c>
      <c r="H165" s="80" t="e">
        <f>табл.6!F30</f>
        <v>#DIV/0!</v>
      </c>
    </row>
    <row r="166" spans="1:8">
      <c r="A166" s="45" t="s">
        <v>190</v>
      </c>
      <c r="B166" s="40">
        <v>8022</v>
      </c>
      <c r="C166" s="42" t="s">
        <v>54</v>
      </c>
      <c r="D166" s="40" t="s">
        <v>156</v>
      </c>
      <c r="E166" s="80">
        <f>табл.6!C31</f>
        <v>0</v>
      </c>
      <c r="F166" s="80">
        <f>табл.6!D31</f>
        <v>0</v>
      </c>
      <c r="G166" s="80">
        <f>табл.6!E31</f>
        <v>0</v>
      </c>
      <c r="H166" s="80" t="e">
        <f>табл.6!F31</f>
        <v>#DIV/0!</v>
      </c>
    </row>
    <row r="167" spans="1:8">
      <c r="A167" s="45" t="s">
        <v>185</v>
      </c>
      <c r="B167" s="40">
        <v>8023</v>
      </c>
      <c r="C167" s="42" t="s">
        <v>54</v>
      </c>
      <c r="D167" s="40" t="s">
        <v>156</v>
      </c>
      <c r="E167" s="80">
        <f>табл.6!C32</f>
        <v>22844.579999999998</v>
      </c>
      <c r="F167" s="80">
        <f>табл.6!D32</f>
        <v>15205</v>
      </c>
      <c r="G167" s="80">
        <f>табл.6!E32</f>
        <v>-7639.5799999999981</v>
      </c>
      <c r="H167" s="80">
        <f>табл.6!F32</f>
        <v>66.558457192034183</v>
      </c>
    </row>
    <row r="168" spans="1:8" ht="31.5">
      <c r="A168" s="45" t="s">
        <v>191</v>
      </c>
      <c r="B168" s="40">
        <v>8024</v>
      </c>
      <c r="C168" s="42" t="s">
        <v>54</v>
      </c>
      <c r="D168" s="40" t="s">
        <v>156</v>
      </c>
      <c r="E168" s="81">
        <f>табл.6!C36</f>
        <v>8814.2857142857156</v>
      </c>
      <c r="F168" s="81">
        <f>табл.6!D36</f>
        <v>7190.3205128205127</v>
      </c>
      <c r="G168" s="81">
        <f>табл.6!E36</f>
        <v>-1623.9652014652029</v>
      </c>
      <c r="H168" s="81">
        <f>табл.6!F36</f>
        <v>81.575759464738383</v>
      </c>
    </row>
    <row r="169" spans="1:8">
      <c r="A169" s="45" t="s">
        <v>192</v>
      </c>
      <c r="B169" s="40">
        <v>8025</v>
      </c>
      <c r="C169" s="42" t="s">
        <v>54</v>
      </c>
      <c r="D169" s="40" t="s">
        <v>156</v>
      </c>
      <c r="E169" s="81">
        <f>табл.6!C37</f>
        <v>8778.8764044943819</v>
      </c>
      <c r="F169" s="81">
        <f>табл.6!D37</f>
        <v>7303.1481481481469</v>
      </c>
      <c r="G169" s="81">
        <f>табл.6!E37</f>
        <v>-1475.728256346235</v>
      </c>
      <c r="H169" s="81">
        <f>табл.6!F37</f>
        <v>83.190009878818543</v>
      </c>
    </row>
    <row r="171" spans="1:8">
      <c r="A171" s="5" t="s">
        <v>193</v>
      </c>
      <c r="C171" s="5"/>
      <c r="D171" s="5"/>
      <c r="E171" s="5"/>
      <c r="G171" s="120" t="s">
        <v>197</v>
      </c>
      <c r="H171" s="120"/>
    </row>
    <row r="172" spans="1:8" s="6" customFormat="1" ht="15" customHeight="1">
      <c r="A172" s="7" t="s">
        <v>194</v>
      </c>
      <c r="B172" s="7"/>
      <c r="C172" s="7"/>
      <c r="D172" s="7" t="s">
        <v>195</v>
      </c>
      <c r="E172" s="7"/>
      <c r="F172" s="7"/>
      <c r="G172" s="116" t="s">
        <v>196</v>
      </c>
      <c r="H172" s="116"/>
    </row>
  </sheetData>
  <sheetProtection password="CE28" sheet="1" objects="1" scenarios="1"/>
  <mergeCells count="48">
    <mergeCell ref="E1:H1"/>
    <mergeCell ref="E2:H2"/>
    <mergeCell ref="E3:H3"/>
    <mergeCell ref="E4:H4"/>
    <mergeCell ref="E5:F5"/>
    <mergeCell ref="E14:G14"/>
    <mergeCell ref="E15:G15"/>
    <mergeCell ref="A21:H21"/>
    <mergeCell ref="A22:H22"/>
    <mergeCell ref="B14:D14"/>
    <mergeCell ref="B15:D15"/>
    <mergeCell ref="B16:H16"/>
    <mergeCell ref="B17:H17"/>
    <mergeCell ref="B18:H18"/>
    <mergeCell ref="B19:H19"/>
    <mergeCell ref="B12:F12"/>
    <mergeCell ref="B13:F13"/>
    <mergeCell ref="H101:H102"/>
    <mergeCell ref="A106:H106"/>
    <mergeCell ref="A114:H114"/>
    <mergeCell ref="A29:H29"/>
    <mergeCell ref="A77:H77"/>
    <mergeCell ref="A78:H78"/>
    <mergeCell ref="A91:H91"/>
    <mergeCell ref="B101:B102"/>
    <mergeCell ref="C101:C102"/>
    <mergeCell ref="D101:D102"/>
    <mergeCell ref="E101:E102"/>
    <mergeCell ref="F101:F102"/>
    <mergeCell ref="G101:G102"/>
    <mergeCell ref="A23:H23"/>
    <mergeCell ref="A7:F7"/>
    <mergeCell ref="B8:F8"/>
    <mergeCell ref="B9:F9"/>
    <mergeCell ref="B10:F10"/>
    <mergeCell ref="B11:F11"/>
    <mergeCell ref="A156:H156"/>
    <mergeCell ref="G171:H171"/>
    <mergeCell ref="G172:H172"/>
    <mergeCell ref="A127:H127"/>
    <mergeCell ref="A133:H133"/>
    <mergeCell ref="A147:H147"/>
    <mergeCell ref="A24:H24"/>
    <mergeCell ref="A25:H25"/>
    <mergeCell ref="A26:A27"/>
    <mergeCell ref="B26:B27"/>
    <mergeCell ref="C26:D26"/>
    <mergeCell ref="E26:H26"/>
  </mergeCells>
  <pageMargins left="0.31496062992125984" right="0.31496062992125984" top="0.94488188976377963" bottom="0.55118110236220474" header="0.31496062992125984" footer="0.31496062992125984"/>
  <pageSetup paperSize="9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20"/>
  <sheetViews>
    <sheetView view="pageBreakPreview" zoomScaleSheetLayoutView="100" workbookViewId="0">
      <selection activeCell="G7" sqref="G7"/>
    </sheetView>
  </sheetViews>
  <sheetFormatPr defaultRowHeight="18.75"/>
  <cols>
    <col min="1" max="1" width="5.85546875" style="4" customWidth="1"/>
    <col min="2" max="2" width="13.5703125" style="4" customWidth="1"/>
    <col min="3" max="3" width="13.28515625" style="4" customWidth="1"/>
    <col min="4" max="4" width="28.5703125" style="4" customWidth="1"/>
    <col min="5" max="7" width="11.5703125" style="4" customWidth="1"/>
    <col min="8" max="9" width="14.140625" style="4" customWidth="1"/>
    <col min="10" max="10" width="14.5703125" style="4" customWidth="1"/>
    <col min="11" max="16384" width="9.140625" style="4"/>
  </cols>
  <sheetData>
    <row r="1" spans="1:11" ht="37.5" customHeight="1">
      <c r="A1" s="156" t="s">
        <v>428</v>
      </c>
      <c r="B1" s="156"/>
      <c r="C1" s="156"/>
      <c r="D1" s="156"/>
      <c r="E1" s="156"/>
      <c r="F1" s="156"/>
      <c r="G1" s="156"/>
      <c r="H1" s="156"/>
      <c r="I1" s="156"/>
      <c r="J1" s="156"/>
    </row>
    <row r="3" spans="1:11">
      <c r="A3" s="27" t="s">
        <v>418</v>
      </c>
      <c r="B3" s="159" t="s">
        <v>420</v>
      </c>
      <c r="C3" s="137" t="s">
        <v>421</v>
      </c>
      <c r="D3" s="137" t="s">
        <v>422</v>
      </c>
      <c r="E3" s="137" t="s">
        <v>423</v>
      </c>
      <c r="F3" s="137"/>
      <c r="G3" s="137"/>
      <c r="H3" s="23" t="s">
        <v>390</v>
      </c>
      <c r="I3" s="137" t="s">
        <v>391</v>
      </c>
      <c r="J3" s="137"/>
    </row>
    <row r="4" spans="1:11" ht="63.75">
      <c r="A4" s="26" t="s">
        <v>419</v>
      </c>
      <c r="B4" s="159"/>
      <c r="C4" s="137"/>
      <c r="D4" s="137"/>
      <c r="E4" s="23" t="s">
        <v>425</v>
      </c>
      <c r="F4" s="23" t="s">
        <v>426</v>
      </c>
      <c r="G4" s="23" t="s">
        <v>427</v>
      </c>
      <c r="H4" s="23" t="s">
        <v>424</v>
      </c>
      <c r="I4" s="137" t="s">
        <v>424</v>
      </c>
      <c r="J4" s="137"/>
    </row>
    <row r="5" spans="1:11">
      <c r="A5" s="26">
        <v>1</v>
      </c>
      <c r="B5" s="23">
        <v>2</v>
      </c>
      <c r="C5" s="23">
        <v>3</v>
      </c>
      <c r="D5" s="23">
        <v>4</v>
      </c>
      <c r="E5" s="23">
        <v>5</v>
      </c>
      <c r="F5" s="23">
        <v>6</v>
      </c>
      <c r="G5" s="23">
        <v>7</v>
      </c>
      <c r="H5" s="23">
        <v>8</v>
      </c>
      <c r="I5" s="137">
        <v>9</v>
      </c>
      <c r="J5" s="137"/>
    </row>
    <row r="6" spans="1:11" ht="69.75" customHeight="1">
      <c r="A6" s="23">
        <v>1</v>
      </c>
      <c r="B6" s="24" t="s">
        <v>455</v>
      </c>
      <c r="C6" s="24">
        <v>1997</v>
      </c>
      <c r="D6" s="106" t="s">
        <v>519</v>
      </c>
      <c r="E6" s="24">
        <v>25.86</v>
      </c>
      <c r="F6" s="24">
        <v>31.73</v>
      </c>
      <c r="G6" s="60">
        <v>45.81</v>
      </c>
      <c r="H6" s="24">
        <f>G6-F6</f>
        <v>14.080000000000002</v>
      </c>
      <c r="I6" s="158">
        <f>G6/F6*100</f>
        <v>144.37440907658367</v>
      </c>
      <c r="J6" s="159"/>
    </row>
    <row r="7" spans="1:11" ht="40.5" customHeight="1">
      <c r="A7" s="23">
        <v>2</v>
      </c>
      <c r="B7" s="24" t="s">
        <v>454</v>
      </c>
      <c r="C7" s="24">
        <v>2010</v>
      </c>
      <c r="D7" s="106" t="s">
        <v>518</v>
      </c>
      <c r="E7" s="24">
        <v>6.78</v>
      </c>
      <c r="F7" s="24">
        <v>16.66</v>
      </c>
      <c r="G7" s="60">
        <v>18.100000000000001</v>
      </c>
      <c r="H7" s="24">
        <f t="shared" ref="H7:H9" si="0">G7-F7</f>
        <v>1.4400000000000013</v>
      </c>
      <c r="I7" s="158">
        <f t="shared" ref="I7:I9" si="1">G7/F7*100</f>
        <v>108.64345738295317</v>
      </c>
      <c r="J7" s="159"/>
    </row>
    <row r="8" spans="1:11" hidden="1">
      <c r="A8" s="23" t="s">
        <v>91</v>
      </c>
      <c r="B8" s="23" t="s">
        <v>91</v>
      </c>
      <c r="C8" s="23" t="s">
        <v>91</v>
      </c>
      <c r="D8" s="23" t="s">
        <v>91</v>
      </c>
      <c r="E8" s="23" t="s">
        <v>91</v>
      </c>
      <c r="F8" s="23"/>
      <c r="G8" s="23"/>
      <c r="H8" s="24"/>
      <c r="I8" s="158"/>
      <c r="J8" s="159"/>
    </row>
    <row r="9" spans="1:11">
      <c r="A9" s="157" t="s">
        <v>99</v>
      </c>
      <c r="B9" s="157"/>
      <c r="C9" s="157"/>
      <c r="D9" s="157"/>
      <c r="E9" s="25">
        <f>SUM(E6:E8)</f>
        <v>32.64</v>
      </c>
      <c r="F9" s="25">
        <f t="shared" ref="F9:G9" si="2">SUM(F6:F8)</f>
        <v>48.39</v>
      </c>
      <c r="G9" s="25">
        <f t="shared" si="2"/>
        <v>63.910000000000004</v>
      </c>
      <c r="H9" s="24">
        <f t="shared" si="0"/>
        <v>15.520000000000003</v>
      </c>
      <c r="I9" s="158">
        <f t="shared" si="1"/>
        <v>132.07274230212855</v>
      </c>
      <c r="J9" s="159"/>
    </row>
    <row r="11" spans="1:11">
      <c r="A11" s="156" t="s">
        <v>429</v>
      </c>
      <c r="B11" s="156"/>
      <c r="C11" s="156"/>
      <c r="D11" s="156"/>
      <c r="E11" s="156"/>
      <c r="F11" s="156"/>
      <c r="G11" s="156"/>
      <c r="H11" s="156"/>
      <c r="I11" s="156"/>
      <c r="J11" s="156"/>
    </row>
    <row r="13" spans="1:11">
      <c r="A13" s="137" t="s">
        <v>453</v>
      </c>
      <c r="B13" s="137" t="s">
        <v>430</v>
      </c>
      <c r="C13" s="137" t="s">
        <v>420</v>
      </c>
      <c r="D13" s="137" t="s">
        <v>422</v>
      </c>
      <c r="E13" s="137" t="s">
        <v>431</v>
      </c>
      <c r="F13" s="137" t="s">
        <v>423</v>
      </c>
      <c r="G13" s="137"/>
      <c r="H13" s="137"/>
      <c r="I13" s="23" t="s">
        <v>390</v>
      </c>
      <c r="J13" s="23" t="s">
        <v>391</v>
      </c>
      <c r="K13" s="22"/>
    </row>
    <row r="14" spans="1:11" ht="51" customHeight="1">
      <c r="A14" s="137"/>
      <c r="B14" s="137"/>
      <c r="C14" s="137"/>
      <c r="D14" s="137"/>
      <c r="E14" s="137"/>
      <c r="F14" s="137" t="s">
        <v>425</v>
      </c>
      <c r="G14" s="137" t="s">
        <v>426</v>
      </c>
      <c r="H14" s="137" t="s">
        <v>427</v>
      </c>
      <c r="I14" s="137" t="s">
        <v>424</v>
      </c>
      <c r="J14" s="137" t="s">
        <v>424</v>
      </c>
      <c r="K14" s="15"/>
    </row>
    <row r="15" spans="1:11">
      <c r="A15" s="137"/>
      <c r="B15" s="137"/>
      <c r="C15" s="137"/>
      <c r="D15" s="137"/>
      <c r="E15" s="137"/>
      <c r="F15" s="137"/>
      <c r="G15" s="137"/>
      <c r="H15" s="137"/>
      <c r="I15" s="137"/>
      <c r="J15" s="137"/>
      <c r="K15" s="15"/>
    </row>
    <row r="16" spans="1:11">
      <c r="A16" s="23">
        <v>1</v>
      </c>
      <c r="B16" s="23">
        <v>2</v>
      </c>
      <c r="C16" s="23">
        <v>3</v>
      </c>
      <c r="D16" s="23">
        <v>4</v>
      </c>
      <c r="E16" s="23">
        <v>5</v>
      </c>
      <c r="F16" s="23">
        <v>6</v>
      </c>
      <c r="G16" s="23">
        <v>7</v>
      </c>
      <c r="H16" s="23">
        <v>8</v>
      </c>
      <c r="I16" s="23">
        <v>9</v>
      </c>
      <c r="J16" s="23">
        <v>10</v>
      </c>
      <c r="K16" s="22"/>
    </row>
    <row r="17" spans="1:11" hidden="1">
      <c r="A17" s="23" t="s">
        <v>91</v>
      </c>
      <c r="B17" s="23" t="s">
        <v>91</v>
      </c>
      <c r="C17" s="23" t="s">
        <v>91</v>
      </c>
      <c r="D17" s="28" t="s">
        <v>91</v>
      </c>
      <c r="E17" s="23" t="s">
        <v>91</v>
      </c>
      <c r="F17" s="23" t="s">
        <v>91</v>
      </c>
      <c r="G17" s="23" t="s">
        <v>91</v>
      </c>
      <c r="H17" s="23" t="s">
        <v>91</v>
      </c>
      <c r="I17" s="23" t="s">
        <v>328</v>
      </c>
      <c r="J17" s="23" t="s">
        <v>328</v>
      </c>
      <c r="K17" s="22"/>
    </row>
    <row r="18" spans="1:11" hidden="1">
      <c r="A18" s="23" t="s">
        <v>91</v>
      </c>
      <c r="B18" s="23" t="s">
        <v>91</v>
      </c>
      <c r="C18" s="23" t="s">
        <v>91</v>
      </c>
      <c r="D18" s="28" t="s">
        <v>91</v>
      </c>
      <c r="E18" s="23" t="s">
        <v>91</v>
      </c>
      <c r="F18" s="23" t="s">
        <v>91</v>
      </c>
      <c r="G18" s="23" t="s">
        <v>91</v>
      </c>
      <c r="H18" s="23" t="s">
        <v>91</v>
      </c>
      <c r="I18" s="23" t="s">
        <v>328</v>
      </c>
      <c r="J18" s="23" t="s">
        <v>328</v>
      </c>
      <c r="K18" s="22"/>
    </row>
    <row r="19" spans="1:11">
      <c r="A19" s="23" t="s">
        <v>91</v>
      </c>
      <c r="B19" s="23" t="s">
        <v>91</v>
      </c>
      <c r="C19" s="23" t="s">
        <v>91</v>
      </c>
      <c r="D19" s="28" t="s">
        <v>91</v>
      </c>
      <c r="E19" s="23" t="s">
        <v>91</v>
      </c>
      <c r="F19" s="23" t="s">
        <v>91</v>
      </c>
      <c r="G19" s="23" t="s">
        <v>91</v>
      </c>
      <c r="H19" s="23" t="s">
        <v>91</v>
      </c>
      <c r="I19" s="23" t="s">
        <v>328</v>
      </c>
      <c r="J19" s="23" t="s">
        <v>328</v>
      </c>
      <c r="K19" s="22"/>
    </row>
    <row r="20" spans="1:11">
      <c r="A20" s="157" t="s">
        <v>99</v>
      </c>
      <c r="B20" s="157"/>
      <c r="C20" s="157"/>
      <c r="D20" s="157"/>
      <c r="E20" s="157"/>
      <c r="F20" s="25" t="s">
        <v>328</v>
      </c>
      <c r="G20" s="25" t="s">
        <v>328</v>
      </c>
      <c r="H20" s="25" t="s">
        <v>328</v>
      </c>
      <c r="I20" s="23" t="s">
        <v>328</v>
      </c>
      <c r="J20" s="23" t="s">
        <v>328</v>
      </c>
      <c r="K20" s="22"/>
    </row>
  </sheetData>
  <sheetProtection password="CE28" sheet="1" objects="1" scenarios="1"/>
  <mergeCells count="26">
    <mergeCell ref="A1:J1"/>
    <mergeCell ref="F14:F15"/>
    <mergeCell ref="G14:G15"/>
    <mergeCell ref="H14:H15"/>
    <mergeCell ref="I14:I15"/>
    <mergeCell ref="B3:B4"/>
    <mergeCell ref="C3:C4"/>
    <mergeCell ref="D3:D4"/>
    <mergeCell ref="E3:G3"/>
    <mergeCell ref="A9:D9"/>
    <mergeCell ref="J14:J15"/>
    <mergeCell ref="A20:E20"/>
    <mergeCell ref="I3:J3"/>
    <mergeCell ref="I4:J4"/>
    <mergeCell ref="I5:J5"/>
    <mergeCell ref="I6:J6"/>
    <mergeCell ref="I7:J7"/>
    <mergeCell ref="I8:J8"/>
    <mergeCell ref="I9:J9"/>
    <mergeCell ref="A13:A15"/>
    <mergeCell ref="A11:J11"/>
    <mergeCell ref="B13:B15"/>
    <mergeCell ref="C13:C15"/>
    <mergeCell ref="D13:D15"/>
    <mergeCell ref="E13:E15"/>
    <mergeCell ref="F13:H13"/>
  </mergeCells>
  <pageMargins left="0.31496062992125984" right="0.31496062992125984" top="0.94488188976377951" bottom="0.55118110236220474" header="0.31496062992125984" footer="0.31496062992125984"/>
  <pageSetup paperSize="9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W14"/>
  <sheetViews>
    <sheetView view="pageBreakPreview" zoomScaleSheetLayoutView="100" workbookViewId="0">
      <selection activeCell="B9" sqref="B9"/>
    </sheetView>
  </sheetViews>
  <sheetFormatPr defaultRowHeight="18.75"/>
  <cols>
    <col min="1" max="1" width="5.42578125" style="4" customWidth="1"/>
    <col min="2" max="2" width="20" style="4" customWidth="1"/>
    <col min="3" max="6" width="6" style="4" customWidth="1"/>
    <col min="7" max="8" width="9.140625" style="4"/>
    <col min="9" max="10" width="6" style="4" customWidth="1"/>
    <col min="11" max="12" width="9.140625" style="4"/>
    <col min="13" max="14" width="6" style="4" customWidth="1"/>
    <col min="15" max="16" width="9.140625" style="4"/>
    <col min="17" max="18" width="6" style="4" customWidth="1"/>
    <col min="19" max="20" width="9.140625" style="4"/>
    <col min="21" max="22" width="6" style="4" customWidth="1"/>
    <col min="23" max="16384" width="9.140625" style="4"/>
  </cols>
  <sheetData>
    <row r="1" spans="1:23">
      <c r="A1" s="156" t="s">
        <v>437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</row>
    <row r="2" spans="1:23">
      <c r="S2" s="160" t="s">
        <v>438</v>
      </c>
      <c r="T2" s="160"/>
      <c r="U2" s="160"/>
      <c r="V2" s="160"/>
    </row>
    <row r="3" spans="1:23">
      <c r="A3" s="137" t="s">
        <v>453</v>
      </c>
      <c r="B3" s="137" t="s">
        <v>432</v>
      </c>
      <c r="C3" s="137" t="s">
        <v>433</v>
      </c>
      <c r="D3" s="137"/>
      <c r="E3" s="137"/>
      <c r="F3" s="137"/>
      <c r="G3" s="137" t="s">
        <v>434</v>
      </c>
      <c r="H3" s="137"/>
      <c r="I3" s="137"/>
      <c r="J3" s="137"/>
      <c r="K3" s="137" t="s">
        <v>492</v>
      </c>
      <c r="L3" s="137"/>
      <c r="M3" s="137"/>
      <c r="N3" s="137"/>
      <c r="O3" s="137" t="s">
        <v>435</v>
      </c>
      <c r="P3" s="137"/>
      <c r="Q3" s="137"/>
      <c r="R3" s="137"/>
      <c r="S3" s="137" t="s">
        <v>99</v>
      </c>
      <c r="T3" s="137"/>
      <c r="U3" s="137"/>
      <c r="V3" s="137"/>
      <c r="W3" s="15"/>
    </row>
    <row r="4" spans="1:23">
      <c r="A4" s="137"/>
      <c r="B4" s="137"/>
      <c r="C4" s="161" t="s">
        <v>48</v>
      </c>
      <c r="D4" s="161" t="s">
        <v>49</v>
      </c>
      <c r="E4" s="161" t="s">
        <v>50</v>
      </c>
      <c r="F4" s="161" t="s">
        <v>51</v>
      </c>
      <c r="G4" s="161" t="s">
        <v>48</v>
      </c>
      <c r="H4" s="161" t="s">
        <v>49</v>
      </c>
      <c r="I4" s="161" t="s">
        <v>50</v>
      </c>
      <c r="J4" s="161" t="s">
        <v>51</v>
      </c>
      <c r="K4" s="161" t="s">
        <v>48</v>
      </c>
      <c r="L4" s="161" t="s">
        <v>49</v>
      </c>
      <c r="M4" s="161" t="s">
        <v>50</v>
      </c>
      <c r="N4" s="161" t="s">
        <v>51</v>
      </c>
      <c r="O4" s="161" t="s">
        <v>48</v>
      </c>
      <c r="P4" s="161" t="s">
        <v>49</v>
      </c>
      <c r="Q4" s="161" t="s">
        <v>50</v>
      </c>
      <c r="R4" s="161" t="s">
        <v>51</v>
      </c>
      <c r="S4" s="161" t="s">
        <v>48</v>
      </c>
      <c r="T4" s="161" t="s">
        <v>49</v>
      </c>
      <c r="U4" s="161" t="s">
        <v>50</v>
      </c>
      <c r="V4" s="161" t="s">
        <v>51</v>
      </c>
      <c r="W4" s="15"/>
    </row>
    <row r="5" spans="1:23" ht="57" customHeight="1">
      <c r="A5" s="137"/>
      <c r="B5" s="137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5"/>
    </row>
    <row r="6" spans="1:23">
      <c r="A6" s="23">
        <v>1</v>
      </c>
      <c r="B6" s="23">
        <v>2</v>
      </c>
      <c r="C6" s="23">
        <v>3</v>
      </c>
      <c r="D6" s="23">
        <v>4</v>
      </c>
      <c r="E6" s="23">
        <v>5</v>
      </c>
      <c r="F6" s="23">
        <v>6</v>
      </c>
      <c r="G6" s="23">
        <v>7</v>
      </c>
      <c r="H6" s="23">
        <v>8</v>
      </c>
      <c r="I6" s="23">
        <v>9</v>
      </c>
      <c r="J6" s="23">
        <v>10</v>
      </c>
      <c r="K6" s="23">
        <v>11</v>
      </c>
      <c r="L6" s="23">
        <v>12</v>
      </c>
      <c r="M6" s="23">
        <v>13</v>
      </c>
      <c r="N6" s="23">
        <v>14</v>
      </c>
      <c r="O6" s="23">
        <v>15</v>
      </c>
      <c r="P6" s="23">
        <v>16</v>
      </c>
      <c r="Q6" s="23">
        <v>17</v>
      </c>
      <c r="R6" s="23">
        <v>18</v>
      </c>
      <c r="S6" s="23">
        <v>19</v>
      </c>
      <c r="T6" s="23">
        <v>20</v>
      </c>
      <c r="U6" s="23">
        <v>21</v>
      </c>
      <c r="V6" s="23">
        <v>22</v>
      </c>
      <c r="W6" s="22"/>
    </row>
    <row r="7" spans="1:23" ht="25.5">
      <c r="A7" s="23">
        <v>1</v>
      </c>
      <c r="B7" s="91" t="s">
        <v>493</v>
      </c>
      <c r="C7" s="49">
        <v>0</v>
      </c>
      <c r="D7" s="49">
        <v>0</v>
      </c>
      <c r="E7" s="23" t="s">
        <v>54</v>
      </c>
      <c r="F7" s="23" t="s">
        <v>54</v>
      </c>
      <c r="G7" s="49">
        <v>0</v>
      </c>
      <c r="H7" s="49">
        <v>0</v>
      </c>
      <c r="I7" s="49">
        <f>H7-G7</f>
        <v>0</v>
      </c>
      <c r="J7" s="49" t="e">
        <f>H7/G7*100</f>
        <v>#DIV/0!</v>
      </c>
      <c r="K7" s="49">
        <v>0</v>
      </c>
      <c r="L7" s="49">
        <v>89</v>
      </c>
      <c r="M7" s="49">
        <f>L7-K7</f>
        <v>89</v>
      </c>
      <c r="N7" s="49" t="e">
        <f>L7/K7*100</f>
        <v>#DIV/0!</v>
      </c>
      <c r="O7" s="49">
        <v>0</v>
      </c>
      <c r="P7" s="49">
        <v>0</v>
      </c>
      <c r="Q7" s="49">
        <f>P7-O7</f>
        <v>0</v>
      </c>
      <c r="R7" s="49" t="e">
        <f>P7/O7*100</f>
        <v>#DIV/0!</v>
      </c>
      <c r="S7" s="49">
        <f>C7+G7+K7+O7</f>
        <v>0</v>
      </c>
      <c r="T7" s="49">
        <f>D7+H7+L7+P7</f>
        <v>89</v>
      </c>
      <c r="U7" s="49">
        <f>T7-S7</f>
        <v>89</v>
      </c>
      <c r="V7" s="49" t="e">
        <f>T7/S7*100</f>
        <v>#DIV/0!</v>
      </c>
      <c r="W7" s="22"/>
    </row>
    <row r="8" spans="1:23">
      <c r="A8" s="23">
        <v>2</v>
      </c>
      <c r="B8" s="106" t="s">
        <v>513</v>
      </c>
      <c r="C8" s="49">
        <v>0</v>
      </c>
      <c r="D8" s="49">
        <v>0</v>
      </c>
      <c r="E8" s="23" t="s">
        <v>54</v>
      </c>
      <c r="F8" s="23" t="s">
        <v>54</v>
      </c>
      <c r="G8" s="49">
        <v>0</v>
      </c>
      <c r="H8" s="49">
        <v>0</v>
      </c>
      <c r="I8" s="49">
        <f t="shared" ref="I8:I13" si="0">H8-G8</f>
        <v>0</v>
      </c>
      <c r="J8" s="49" t="e">
        <f t="shared" ref="J8:J13" si="1">H8/G8*100</f>
        <v>#DIV/0!</v>
      </c>
      <c r="K8" s="49">
        <v>0</v>
      </c>
      <c r="L8" s="49">
        <v>19.649999999999999</v>
      </c>
      <c r="M8" s="49">
        <f t="shared" ref="M8:M13" si="2">L8-K8</f>
        <v>19.649999999999999</v>
      </c>
      <c r="N8" s="49" t="e">
        <f t="shared" ref="N8:N13" si="3">L8/K8*100</f>
        <v>#DIV/0!</v>
      </c>
      <c r="O8" s="49">
        <v>0</v>
      </c>
      <c r="P8" s="49">
        <v>0</v>
      </c>
      <c r="Q8" s="49">
        <f t="shared" ref="Q8:Q13" si="4">P8-O8</f>
        <v>0</v>
      </c>
      <c r="R8" s="49" t="e">
        <f t="shared" ref="R8:R13" si="5">P8/O8*100</f>
        <v>#DIV/0!</v>
      </c>
      <c r="S8" s="49">
        <f t="shared" ref="S8:S12" si="6">C8+G8+K8+O8</f>
        <v>0</v>
      </c>
      <c r="T8" s="49">
        <f t="shared" ref="T8:T12" si="7">D8+H8+L8+P8</f>
        <v>19.649999999999999</v>
      </c>
      <c r="U8" s="49">
        <f t="shared" ref="U8:U13" si="8">T8-S8</f>
        <v>19.649999999999999</v>
      </c>
      <c r="V8" s="49" t="e">
        <f t="shared" ref="V8:V13" si="9">T8/S8*100</f>
        <v>#DIV/0!</v>
      </c>
      <c r="W8" s="22"/>
    </row>
    <row r="9" spans="1:23">
      <c r="A9" s="23">
        <v>3</v>
      </c>
      <c r="B9" s="60" t="s">
        <v>514</v>
      </c>
      <c r="C9" s="49">
        <v>0</v>
      </c>
      <c r="D9" s="49">
        <v>0</v>
      </c>
      <c r="E9" s="23" t="s">
        <v>54</v>
      </c>
      <c r="F9" s="23" t="s">
        <v>54</v>
      </c>
      <c r="G9" s="49">
        <v>0</v>
      </c>
      <c r="H9" s="49">
        <v>0</v>
      </c>
      <c r="I9" s="49">
        <f t="shared" si="0"/>
        <v>0</v>
      </c>
      <c r="J9" s="49" t="e">
        <f t="shared" si="1"/>
        <v>#DIV/0!</v>
      </c>
      <c r="K9" s="49">
        <v>0</v>
      </c>
      <c r="L9" s="49">
        <v>25.11</v>
      </c>
      <c r="M9" s="49">
        <f t="shared" si="2"/>
        <v>25.11</v>
      </c>
      <c r="N9" s="49" t="e">
        <f t="shared" si="3"/>
        <v>#DIV/0!</v>
      </c>
      <c r="O9" s="49">
        <v>0</v>
      </c>
      <c r="P9" s="49">
        <v>0</v>
      </c>
      <c r="Q9" s="49">
        <f t="shared" si="4"/>
        <v>0</v>
      </c>
      <c r="R9" s="49" t="e">
        <f t="shared" si="5"/>
        <v>#DIV/0!</v>
      </c>
      <c r="S9" s="49">
        <f t="shared" si="6"/>
        <v>0</v>
      </c>
      <c r="T9" s="49">
        <f t="shared" si="7"/>
        <v>25.11</v>
      </c>
      <c r="U9" s="49">
        <f t="shared" si="8"/>
        <v>25.11</v>
      </c>
      <c r="V9" s="49" t="e">
        <f t="shared" si="9"/>
        <v>#DIV/0!</v>
      </c>
      <c r="W9" s="22"/>
    </row>
    <row r="10" spans="1:23">
      <c r="A10" s="106">
        <v>4</v>
      </c>
      <c r="B10" s="60" t="s">
        <v>515</v>
      </c>
      <c r="C10" s="49">
        <v>0</v>
      </c>
      <c r="D10" s="49">
        <v>0</v>
      </c>
      <c r="E10" s="106" t="s">
        <v>54</v>
      </c>
      <c r="F10" s="106" t="s">
        <v>54</v>
      </c>
      <c r="G10" s="49">
        <v>0</v>
      </c>
      <c r="H10" s="49">
        <v>0</v>
      </c>
      <c r="I10" s="49">
        <f t="shared" ref="I10" si="10">H10-G10</f>
        <v>0</v>
      </c>
      <c r="J10" s="49" t="e">
        <f t="shared" ref="J10" si="11">H10/G10*100</f>
        <v>#DIV/0!</v>
      </c>
      <c r="K10" s="49">
        <v>0</v>
      </c>
      <c r="L10" s="49">
        <v>10.23</v>
      </c>
      <c r="M10" s="49">
        <f t="shared" ref="M10" si="12">L10-K10</f>
        <v>10.23</v>
      </c>
      <c r="N10" s="49" t="e">
        <f t="shared" ref="N10" si="13">L10/K10*100</f>
        <v>#DIV/0!</v>
      </c>
      <c r="O10" s="49">
        <v>0</v>
      </c>
      <c r="P10" s="49">
        <v>0</v>
      </c>
      <c r="Q10" s="49">
        <f t="shared" ref="Q10" si="14">P10-O10</f>
        <v>0</v>
      </c>
      <c r="R10" s="49" t="e">
        <f t="shared" ref="R10" si="15">P10/O10*100</f>
        <v>#DIV/0!</v>
      </c>
      <c r="S10" s="49">
        <f t="shared" ref="S10" si="16">C10+G10+K10+O10</f>
        <v>0</v>
      </c>
      <c r="T10" s="49">
        <f t="shared" ref="T10" si="17">D10+H10+L10+P10</f>
        <v>10.23</v>
      </c>
      <c r="U10" s="49">
        <f t="shared" ref="U10" si="18">T10-S10</f>
        <v>10.23</v>
      </c>
      <c r="V10" s="49" t="e">
        <f t="shared" ref="V10" si="19">T10/S10*100</f>
        <v>#DIV/0!</v>
      </c>
      <c r="W10" s="22"/>
    </row>
    <row r="11" spans="1:23" ht="25.5" hidden="1">
      <c r="A11" s="106">
        <v>5</v>
      </c>
      <c r="B11" s="60" t="s">
        <v>516</v>
      </c>
      <c r="C11" s="49">
        <v>0</v>
      </c>
      <c r="D11" s="49">
        <v>0</v>
      </c>
      <c r="E11" s="106" t="s">
        <v>54</v>
      </c>
      <c r="F11" s="106" t="s">
        <v>54</v>
      </c>
      <c r="G11" s="49">
        <v>0</v>
      </c>
      <c r="H11" s="49">
        <v>0</v>
      </c>
      <c r="I11" s="49">
        <f t="shared" ref="I11" si="20">H11-G11</f>
        <v>0</v>
      </c>
      <c r="J11" s="49" t="e">
        <f t="shared" ref="J11" si="21">H11/G11*100</f>
        <v>#DIV/0!</v>
      </c>
      <c r="K11" s="49">
        <v>0</v>
      </c>
      <c r="L11" s="49">
        <v>0</v>
      </c>
      <c r="M11" s="49">
        <f t="shared" ref="M11" si="22">L11-K11</f>
        <v>0</v>
      </c>
      <c r="N11" s="49" t="e">
        <f t="shared" ref="N11" si="23">L11/K11*100</f>
        <v>#DIV/0!</v>
      </c>
      <c r="O11" s="49">
        <v>0</v>
      </c>
      <c r="P11" s="49">
        <v>0</v>
      </c>
      <c r="Q11" s="49">
        <f t="shared" ref="Q11" si="24">P11-O11</f>
        <v>0</v>
      </c>
      <c r="R11" s="49" t="e">
        <f t="shared" ref="R11" si="25">P11/O11*100</f>
        <v>#DIV/0!</v>
      </c>
      <c r="S11" s="49">
        <f t="shared" ref="S11" si="26">C11+G11+K11+O11</f>
        <v>0</v>
      </c>
      <c r="T11" s="49">
        <f t="shared" ref="T11" si="27">D11+H11+L11+P11</f>
        <v>0</v>
      </c>
      <c r="U11" s="49">
        <f t="shared" ref="U11" si="28">T11-S11</f>
        <v>0</v>
      </c>
      <c r="V11" s="49" t="e">
        <f t="shared" ref="V11" si="29">T11/S11*100</f>
        <v>#DIV/0!</v>
      </c>
      <c r="W11" s="22"/>
    </row>
    <row r="12" spans="1:23" ht="25.5" hidden="1">
      <c r="A12" s="23">
        <v>6</v>
      </c>
      <c r="B12" s="60" t="s">
        <v>517</v>
      </c>
      <c r="C12" s="49">
        <v>0</v>
      </c>
      <c r="D12" s="49">
        <v>0</v>
      </c>
      <c r="E12" s="23" t="s">
        <v>54</v>
      </c>
      <c r="F12" s="23" t="s">
        <v>54</v>
      </c>
      <c r="G12" s="49">
        <v>0</v>
      </c>
      <c r="H12" s="49">
        <v>0</v>
      </c>
      <c r="I12" s="49">
        <f t="shared" si="0"/>
        <v>0</v>
      </c>
      <c r="J12" s="49" t="e">
        <f t="shared" si="1"/>
        <v>#DIV/0!</v>
      </c>
      <c r="K12" s="49">
        <v>0</v>
      </c>
      <c r="L12" s="49">
        <v>0</v>
      </c>
      <c r="M12" s="49">
        <f t="shared" si="2"/>
        <v>0</v>
      </c>
      <c r="N12" s="49" t="e">
        <f t="shared" si="3"/>
        <v>#DIV/0!</v>
      </c>
      <c r="O12" s="49">
        <v>0</v>
      </c>
      <c r="P12" s="49">
        <v>0</v>
      </c>
      <c r="Q12" s="49">
        <f t="shared" si="4"/>
        <v>0</v>
      </c>
      <c r="R12" s="49" t="e">
        <f t="shared" si="5"/>
        <v>#DIV/0!</v>
      </c>
      <c r="S12" s="49">
        <f t="shared" si="6"/>
        <v>0</v>
      </c>
      <c r="T12" s="49">
        <f t="shared" si="7"/>
        <v>0</v>
      </c>
      <c r="U12" s="49">
        <f t="shared" si="8"/>
        <v>0</v>
      </c>
      <c r="V12" s="49" t="e">
        <f t="shared" si="9"/>
        <v>#DIV/0!</v>
      </c>
      <c r="W12" s="22"/>
    </row>
    <row r="13" spans="1:23">
      <c r="A13" s="157" t="s">
        <v>99</v>
      </c>
      <c r="B13" s="157"/>
      <c r="C13" s="50">
        <f>SUM(C7:C12)</f>
        <v>0</v>
      </c>
      <c r="D13" s="50">
        <f>SUM(D7:D12)</f>
        <v>0</v>
      </c>
      <c r="E13" s="31" t="s">
        <v>54</v>
      </c>
      <c r="F13" s="31" t="s">
        <v>54</v>
      </c>
      <c r="G13" s="50">
        <f t="shared" ref="G13:H13" si="30">SUM(G7:G12)</f>
        <v>0</v>
      </c>
      <c r="H13" s="50">
        <f t="shared" si="30"/>
        <v>0</v>
      </c>
      <c r="I13" s="49">
        <f t="shared" si="0"/>
        <v>0</v>
      </c>
      <c r="J13" s="49" t="e">
        <f t="shared" si="1"/>
        <v>#DIV/0!</v>
      </c>
      <c r="K13" s="50">
        <f t="shared" ref="K13:L13" si="31">SUM(K7:K12)</f>
        <v>0</v>
      </c>
      <c r="L13" s="50">
        <f t="shared" si="31"/>
        <v>143.98999999999998</v>
      </c>
      <c r="M13" s="49">
        <f t="shared" si="2"/>
        <v>143.98999999999998</v>
      </c>
      <c r="N13" s="49" t="e">
        <f t="shared" si="3"/>
        <v>#DIV/0!</v>
      </c>
      <c r="O13" s="50">
        <f t="shared" ref="O13:P13" si="32">SUM(O7:O12)</f>
        <v>0</v>
      </c>
      <c r="P13" s="50">
        <f t="shared" si="32"/>
        <v>0</v>
      </c>
      <c r="Q13" s="49">
        <f t="shared" si="4"/>
        <v>0</v>
      </c>
      <c r="R13" s="49" t="e">
        <f t="shared" si="5"/>
        <v>#DIV/0!</v>
      </c>
      <c r="S13" s="50">
        <f t="shared" ref="S13:T13" si="33">SUM(S7:S12)</f>
        <v>0</v>
      </c>
      <c r="T13" s="50">
        <f t="shared" si="33"/>
        <v>143.98999999999998</v>
      </c>
      <c r="U13" s="49">
        <f t="shared" si="8"/>
        <v>143.98999999999998</v>
      </c>
      <c r="V13" s="49" t="e">
        <f t="shared" si="9"/>
        <v>#DIV/0!</v>
      </c>
      <c r="W13" s="22"/>
    </row>
    <row r="14" spans="1:23">
      <c r="A14" s="138" t="s">
        <v>436</v>
      </c>
      <c r="B14" s="138"/>
      <c r="C14" s="51" t="s">
        <v>54</v>
      </c>
      <c r="D14" s="51" t="s">
        <v>54</v>
      </c>
      <c r="E14" s="23" t="s">
        <v>91</v>
      </c>
      <c r="F14" s="23" t="s">
        <v>91</v>
      </c>
      <c r="G14" s="51" t="s">
        <v>54</v>
      </c>
      <c r="H14" s="51" t="s">
        <v>54</v>
      </c>
      <c r="I14" s="23" t="s">
        <v>91</v>
      </c>
      <c r="J14" s="23" t="s">
        <v>91</v>
      </c>
      <c r="K14" s="51" t="s">
        <v>54</v>
      </c>
      <c r="L14" s="51" t="s">
        <v>54</v>
      </c>
      <c r="M14" s="23" t="s">
        <v>91</v>
      </c>
      <c r="N14" s="23" t="s">
        <v>91</v>
      </c>
      <c r="O14" s="51" t="s">
        <v>54</v>
      </c>
      <c r="P14" s="51" t="s">
        <v>54</v>
      </c>
      <c r="Q14" s="23" t="s">
        <v>91</v>
      </c>
      <c r="R14" s="23" t="s">
        <v>91</v>
      </c>
      <c r="S14" s="51" t="s">
        <v>54</v>
      </c>
      <c r="T14" s="51" t="s">
        <v>54</v>
      </c>
      <c r="U14" s="23" t="s">
        <v>91</v>
      </c>
      <c r="V14" s="23" t="s">
        <v>91</v>
      </c>
      <c r="W14" s="22"/>
    </row>
  </sheetData>
  <sheetProtection password="CE28" sheet="1" objects="1" scenarios="1"/>
  <mergeCells count="31">
    <mergeCell ref="A13:B13"/>
    <mergeCell ref="A14:B14"/>
    <mergeCell ref="M4:M5"/>
    <mergeCell ref="N4:N5"/>
    <mergeCell ref="O4:O5"/>
    <mergeCell ref="G4:G5"/>
    <mergeCell ref="H4:H5"/>
    <mergeCell ref="I4:I5"/>
    <mergeCell ref="J4:J5"/>
    <mergeCell ref="K4:K5"/>
    <mergeCell ref="L4:L5"/>
    <mergeCell ref="B3:B5"/>
    <mergeCell ref="C3:F3"/>
    <mergeCell ref="G3:J3"/>
    <mergeCell ref="K3:N3"/>
    <mergeCell ref="O3:R3"/>
    <mergeCell ref="A1:V1"/>
    <mergeCell ref="S2:V2"/>
    <mergeCell ref="A3:A5"/>
    <mergeCell ref="S4:S5"/>
    <mergeCell ref="T4:T5"/>
    <mergeCell ref="U4:U5"/>
    <mergeCell ref="V4:V5"/>
    <mergeCell ref="P4:P5"/>
    <mergeCell ref="Q4:Q5"/>
    <mergeCell ref="R4:R5"/>
    <mergeCell ref="S3:V3"/>
    <mergeCell ref="C4:C5"/>
    <mergeCell ref="D4:D5"/>
    <mergeCell ref="E4:E5"/>
    <mergeCell ref="F4:F5"/>
  </mergeCells>
  <pageMargins left="0.31496062992125984" right="0.31496062992125984" top="0.94488188976377951" bottom="0.55118110236220474" header="0.31496062992125984" footer="0.31496062992125984"/>
  <pageSetup paperSize="9" scale="80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18"/>
  <sheetViews>
    <sheetView view="pageBreakPreview" zoomScaleSheetLayoutView="100" workbookViewId="0">
      <selection activeCell="I5" sqref="I5"/>
    </sheetView>
  </sheetViews>
  <sheetFormatPr defaultRowHeight="18.75"/>
  <cols>
    <col min="1" max="1" width="5.7109375" style="4" customWidth="1"/>
    <col min="2" max="2" width="19.42578125" style="4" customWidth="1"/>
    <col min="3" max="3" width="12.42578125" style="4" customWidth="1"/>
    <col min="4" max="4" width="12.5703125" style="4" customWidth="1"/>
    <col min="5" max="5" width="9.140625" style="4"/>
    <col min="6" max="6" width="8.140625" style="4" customWidth="1"/>
    <col min="7" max="7" width="9.140625" style="4"/>
    <col min="8" max="8" width="10.5703125" style="4" customWidth="1"/>
    <col min="9" max="9" width="8.140625" style="4" customWidth="1"/>
    <col min="10" max="11" width="9.140625" style="4"/>
    <col min="12" max="13" width="12.42578125" style="4" customWidth="1"/>
    <col min="14" max="16384" width="9.140625" style="4"/>
  </cols>
  <sheetData>
    <row r="1" spans="1:13">
      <c r="A1" s="152" t="s">
        <v>451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</row>
    <row r="2" spans="1:13">
      <c r="L2" s="160" t="s">
        <v>438</v>
      </c>
      <c r="M2" s="160"/>
    </row>
    <row r="3" spans="1:13" ht="78.75" customHeight="1">
      <c r="A3" s="137" t="s">
        <v>453</v>
      </c>
      <c r="B3" s="137" t="s">
        <v>439</v>
      </c>
      <c r="C3" s="137" t="s">
        <v>440</v>
      </c>
      <c r="D3" s="137" t="s">
        <v>441</v>
      </c>
      <c r="E3" s="161" t="s">
        <v>442</v>
      </c>
      <c r="F3" s="161" t="s">
        <v>443</v>
      </c>
      <c r="G3" s="137" t="s">
        <v>45</v>
      </c>
      <c r="H3" s="137"/>
      <c r="I3" s="137"/>
      <c r="J3" s="137"/>
      <c r="K3" s="137"/>
      <c r="L3" s="161" t="s">
        <v>444</v>
      </c>
      <c r="M3" s="161" t="s">
        <v>445</v>
      </c>
    </row>
    <row r="4" spans="1:13" ht="63" customHeight="1">
      <c r="A4" s="137"/>
      <c r="B4" s="137"/>
      <c r="C4" s="137"/>
      <c r="D4" s="137"/>
      <c r="E4" s="161"/>
      <c r="F4" s="161"/>
      <c r="G4" s="161" t="s">
        <v>446</v>
      </c>
      <c r="H4" s="161" t="s">
        <v>447</v>
      </c>
      <c r="I4" s="137" t="s">
        <v>448</v>
      </c>
      <c r="J4" s="137"/>
      <c r="K4" s="137"/>
      <c r="L4" s="161"/>
      <c r="M4" s="161"/>
    </row>
    <row r="5" spans="1:13" ht="63.75">
      <c r="A5" s="137"/>
      <c r="B5" s="137"/>
      <c r="C5" s="137"/>
      <c r="D5" s="137"/>
      <c r="E5" s="161"/>
      <c r="F5" s="161"/>
      <c r="G5" s="161"/>
      <c r="H5" s="161"/>
      <c r="I5" s="23" t="s">
        <v>150</v>
      </c>
      <c r="J5" s="23" t="s">
        <v>449</v>
      </c>
      <c r="K5" s="23" t="s">
        <v>450</v>
      </c>
      <c r="L5" s="161"/>
      <c r="M5" s="161"/>
    </row>
    <row r="6" spans="1:13">
      <c r="A6" s="23">
        <v>1</v>
      </c>
      <c r="B6" s="23">
        <v>2</v>
      </c>
      <c r="C6" s="23">
        <v>3</v>
      </c>
      <c r="D6" s="23">
        <v>4</v>
      </c>
      <c r="E6" s="23">
        <v>5</v>
      </c>
      <c r="F6" s="23">
        <v>6</v>
      </c>
      <c r="G6" s="23">
        <v>7</v>
      </c>
      <c r="H6" s="23">
        <v>8</v>
      </c>
      <c r="I6" s="23">
        <v>9</v>
      </c>
      <c r="J6" s="23">
        <v>10</v>
      </c>
      <c r="K6" s="23">
        <v>11</v>
      </c>
      <c r="L6" s="23">
        <v>12</v>
      </c>
      <c r="M6" s="23">
        <v>13</v>
      </c>
    </row>
    <row r="7" spans="1:13">
      <c r="A7" s="28" t="s">
        <v>91</v>
      </c>
      <c r="B7" s="23" t="s">
        <v>91</v>
      </c>
      <c r="C7" s="23" t="s">
        <v>91</v>
      </c>
      <c r="D7" s="23" t="s">
        <v>91</v>
      </c>
      <c r="E7" s="23" t="s">
        <v>91</v>
      </c>
      <c r="F7" s="23" t="s">
        <v>91</v>
      </c>
      <c r="G7" s="23" t="s">
        <v>91</v>
      </c>
      <c r="H7" s="29" t="s">
        <v>328</v>
      </c>
      <c r="I7" s="23" t="s">
        <v>91</v>
      </c>
      <c r="J7" s="23" t="s">
        <v>91</v>
      </c>
      <c r="K7" s="23" t="s">
        <v>91</v>
      </c>
      <c r="L7" s="28" t="s">
        <v>91</v>
      </c>
      <c r="M7" s="23" t="s">
        <v>91</v>
      </c>
    </row>
    <row r="8" spans="1:13">
      <c r="A8" s="28" t="s">
        <v>91</v>
      </c>
      <c r="B8" s="23" t="s">
        <v>91</v>
      </c>
      <c r="C8" s="23" t="s">
        <v>91</v>
      </c>
      <c r="D8" s="23" t="s">
        <v>91</v>
      </c>
      <c r="E8" s="23" t="s">
        <v>91</v>
      </c>
      <c r="F8" s="23" t="s">
        <v>91</v>
      </c>
      <c r="G8" s="23" t="s">
        <v>91</v>
      </c>
      <c r="H8" s="29" t="s">
        <v>328</v>
      </c>
      <c r="I8" s="23" t="s">
        <v>91</v>
      </c>
      <c r="J8" s="23" t="s">
        <v>91</v>
      </c>
      <c r="K8" s="23" t="s">
        <v>91</v>
      </c>
      <c r="L8" s="28" t="s">
        <v>91</v>
      </c>
      <c r="M8" s="23" t="s">
        <v>91</v>
      </c>
    </row>
    <row r="9" spans="1:13">
      <c r="A9" s="28" t="s">
        <v>91</v>
      </c>
      <c r="B9" s="23" t="s">
        <v>91</v>
      </c>
      <c r="C9" s="23" t="s">
        <v>91</v>
      </c>
      <c r="D9" s="23" t="s">
        <v>91</v>
      </c>
      <c r="E9" s="23" t="s">
        <v>91</v>
      </c>
      <c r="F9" s="23" t="s">
        <v>91</v>
      </c>
      <c r="G9" s="23" t="s">
        <v>91</v>
      </c>
      <c r="H9" s="29" t="s">
        <v>328</v>
      </c>
      <c r="I9" s="23" t="s">
        <v>91</v>
      </c>
      <c r="J9" s="23" t="s">
        <v>91</v>
      </c>
      <c r="K9" s="23" t="s">
        <v>91</v>
      </c>
      <c r="L9" s="28" t="s">
        <v>91</v>
      </c>
      <c r="M9" s="23" t="s">
        <v>91</v>
      </c>
    </row>
    <row r="10" spans="1:13">
      <c r="A10" s="28" t="s">
        <v>91</v>
      </c>
      <c r="B10" s="23" t="s">
        <v>91</v>
      </c>
      <c r="C10" s="23" t="s">
        <v>91</v>
      </c>
      <c r="D10" s="23" t="s">
        <v>91</v>
      </c>
      <c r="E10" s="23" t="s">
        <v>91</v>
      </c>
      <c r="F10" s="23" t="s">
        <v>91</v>
      </c>
      <c r="G10" s="23" t="s">
        <v>91</v>
      </c>
      <c r="H10" s="29" t="s">
        <v>328</v>
      </c>
      <c r="I10" s="23" t="s">
        <v>91</v>
      </c>
      <c r="J10" s="23" t="s">
        <v>91</v>
      </c>
      <c r="K10" s="23" t="s">
        <v>91</v>
      </c>
      <c r="L10" s="28" t="s">
        <v>91</v>
      </c>
      <c r="M10" s="23" t="s">
        <v>91</v>
      </c>
    </row>
    <row r="11" spans="1:13">
      <c r="A11" s="28" t="s">
        <v>91</v>
      </c>
      <c r="B11" s="23" t="s">
        <v>91</v>
      </c>
      <c r="C11" s="23" t="s">
        <v>91</v>
      </c>
      <c r="D11" s="23" t="s">
        <v>91</v>
      </c>
      <c r="E11" s="23" t="s">
        <v>91</v>
      </c>
      <c r="F11" s="23" t="s">
        <v>91</v>
      </c>
      <c r="G11" s="23" t="s">
        <v>91</v>
      </c>
      <c r="H11" s="29" t="s">
        <v>328</v>
      </c>
      <c r="I11" s="23" t="s">
        <v>91</v>
      </c>
      <c r="J11" s="23" t="s">
        <v>91</v>
      </c>
      <c r="K11" s="23" t="s">
        <v>91</v>
      </c>
      <c r="L11" s="28" t="s">
        <v>91</v>
      </c>
      <c r="M11" s="23" t="s">
        <v>91</v>
      </c>
    </row>
    <row r="12" spans="1:13">
      <c r="A12" s="157" t="s">
        <v>99</v>
      </c>
      <c r="B12" s="157"/>
      <c r="C12" s="157"/>
      <c r="D12" s="25" t="s">
        <v>328</v>
      </c>
      <c r="E12" s="25" t="s">
        <v>328</v>
      </c>
      <c r="F12" s="25" t="s">
        <v>328</v>
      </c>
      <c r="G12" s="25" t="s">
        <v>328</v>
      </c>
      <c r="H12" s="25" t="s">
        <v>328</v>
      </c>
      <c r="I12" s="25" t="s">
        <v>328</v>
      </c>
      <c r="J12" s="25" t="s">
        <v>328</v>
      </c>
      <c r="K12" s="25" t="s">
        <v>328</v>
      </c>
      <c r="L12" s="30" t="s">
        <v>91</v>
      </c>
      <c r="M12" s="31" t="s">
        <v>91</v>
      </c>
    </row>
    <row r="14" spans="1:13">
      <c r="A14" s="120" t="s">
        <v>193</v>
      </c>
      <c r="B14" s="120"/>
      <c r="F14" s="5"/>
      <c r="G14" s="5"/>
      <c r="H14" s="5"/>
      <c r="L14" s="120" t="s">
        <v>197</v>
      </c>
      <c r="M14" s="120"/>
    </row>
    <row r="15" spans="1:13" s="6" customFormat="1" ht="15" customHeight="1">
      <c r="A15" s="116" t="s">
        <v>194</v>
      </c>
      <c r="B15" s="116"/>
      <c r="F15" s="7"/>
      <c r="G15" s="7" t="s">
        <v>195</v>
      </c>
      <c r="H15" s="7"/>
      <c r="L15" s="116" t="s">
        <v>196</v>
      </c>
      <c r="M15" s="116"/>
    </row>
    <row r="18" spans="1:13">
      <c r="A18" s="162" t="s">
        <v>452</v>
      </c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</row>
  </sheetData>
  <sheetProtection password="CE28" sheet="1" objects="1" scenarios="1"/>
  <mergeCells count="20">
    <mergeCell ref="A1:M1"/>
    <mergeCell ref="L2:M2"/>
    <mergeCell ref="A3:A5"/>
    <mergeCell ref="L3:L5"/>
    <mergeCell ref="M3:M5"/>
    <mergeCell ref="G4:G5"/>
    <mergeCell ref="H4:H5"/>
    <mergeCell ref="I4:K4"/>
    <mergeCell ref="A18:M18"/>
    <mergeCell ref="A14:B14"/>
    <mergeCell ref="A15:B15"/>
    <mergeCell ref="D3:D5"/>
    <mergeCell ref="E3:E5"/>
    <mergeCell ref="F3:F5"/>
    <mergeCell ref="G3:K3"/>
    <mergeCell ref="A12:C12"/>
    <mergeCell ref="B3:B5"/>
    <mergeCell ref="C3:C5"/>
    <mergeCell ref="L14:M14"/>
    <mergeCell ref="L15:M15"/>
  </mergeCells>
  <pageMargins left="0.31496062992125984" right="0.31496062992125984" top="0.94488188976377951" bottom="0.55118110236220474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15"/>
  <sheetViews>
    <sheetView view="pageBreakPreview" topLeftCell="A94" zoomScaleSheetLayoutView="100" workbookViewId="0">
      <selection activeCell="F93" sqref="F93"/>
    </sheetView>
  </sheetViews>
  <sheetFormatPr defaultRowHeight="15"/>
  <cols>
    <col min="1" max="1" width="34" style="3" customWidth="1"/>
    <col min="2" max="2" width="6.85546875" style="3" customWidth="1"/>
    <col min="3" max="3" width="9.85546875" style="76" customWidth="1"/>
    <col min="4" max="4" width="10.5703125" style="76" customWidth="1"/>
    <col min="5" max="5" width="10.28515625" style="76" customWidth="1"/>
    <col min="6" max="6" width="10.7109375" style="76" customWidth="1"/>
    <col min="7" max="7" width="10.85546875" style="76" customWidth="1"/>
    <col min="8" max="8" width="10.28515625" style="76" customWidth="1"/>
    <col min="9" max="9" width="37.28515625" style="3" customWidth="1"/>
    <col min="10" max="10" width="18.5703125" style="3" hidden="1" customWidth="1"/>
    <col min="11" max="11" width="15.85546875" style="3" hidden="1" customWidth="1"/>
    <col min="12" max="13" width="9.140625" style="3" hidden="1" customWidth="1"/>
    <col min="14" max="16384" width="9.140625" style="3"/>
  </cols>
  <sheetData>
    <row r="1" spans="1:13" s="4" customFormat="1" ht="18" customHeight="1">
      <c r="C1" s="64"/>
      <c r="D1" s="64"/>
      <c r="E1" s="64"/>
      <c r="F1" s="64"/>
      <c r="G1" s="64"/>
      <c r="H1" s="64"/>
      <c r="I1" s="4" t="s">
        <v>254</v>
      </c>
    </row>
    <row r="2" spans="1:13" s="4" customFormat="1" ht="3" hidden="1" customHeight="1">
      <c r="C2" s="64"/>
      <c r="D2" s="64"/>
      <c r="E2" s="64"/>
      <c r="F2" s="64"/>
      <c r="G2" s="64"/>
      <c r="H2" s="64"/>
    </row>
    <row r="3" spans="1:13" s="4" customFormat="1" ht="18.75">
      <c r="A3" s="117" t="s">
        <v>52</v>
      </c>
      <c r="B3" s="117"/>
      <c r="C3" s="117"/>
      <c r="D3" s="117"/>
      <c r="E3" s="117"/>
      <c r="F3" s="117"/>
      <c r="G3" s="117"/>
      <c r="H3" s="117"/>
      <c r="I3" s="117"/>
    </row>
    <row r="5" spans="1:13" ht="45.75" customHeight="1">
      <c r="A5" s="133" t="s">
        <v>42</v>
      </c>
      <c r="B5" s="133" t="s">
        <v>43</v>
      </c>
      <c r="C5" s="134" t="s">
        <v>44</v>
      </c>
      <c r="D5" s="134"/>
      <c r="E5" s="133" t="s">
        <v>45</v>
      </c>
      <c r="F5" s="133"/>
      <c r="G5" s="133"/>
      <c r="H5" s="133"/>
      <c r="I5" s="133"/>
    </row>
    <row r="6" spans="1:13" ht="30">
      <c r="A6" s="133"/>
      <c r="B6" s="133"/>
      <c r="C6" s="68" t="s">
        <v>46</v>
      </c>
      <c r="D6" s="68" t="s">
        <v>47</v>
      </c>
      <c r="E6" s="68" t="s">
        <v>48</v>
      </c>
      <c r="F6" s="68" t="s">
        <v>49</v>
      </c>
      <c r="G6" s="68" t="s">
        <v>50</v>
      </c>
      <c r="H6" s="68" t="s">
        <v>51</v>
      </c>
      <c r="I6" s="36" t="s">
        <v>198</v>
      </c>
      <c r="J6" s="97" t="s">
        <v>495</v>
      </c>
      <c r="K6" s="97" t="s">
        <v>521</v>
      </c>
    </row>
    <row r="7" spans="1:13">
      <c r="A7" s="36">
        <v>1</v>
      </c>
      <c r="B7" s="36">
        <v>2</v>
      </c>
      <c r="C7" s="68">
        <v>3</v>
      </c>
      <c r="D7" s="68">
        <v>4</v>
      </c>
      <c r="E7" s="68">
        <v>5</v>
      </c>
      <c r="F7" s="68">
        <v>6</v>
      </c>
      <c r="G7" s="68">
        <v>7</v>
      </c>
      <c r="H7" s="68">
        <v>8</v>
      </c>
      <c r="I7" s="36">
        <v>9</v>
      </c>
      <c r="J7" s="97"/>
      <c r="K7" s="97"/>
    </row>
    <row r="8" spans="1:13">
      <c r="A8" s="130" t="s">
        <v>199</v>
      </c>
      <c r="B8" s="130"/>
      <c r="C8" s="130"/>
      <c r="D8" s="130"/>
      <c r="E8" s="130"/>
      <c r="F8" s="130"/>
      <c r="G8" s="130"/>
      <c r="H8" s="130"/>
      <c r="I8" s="130"/>
      <c r="J8" s="97"/>
      <c r="K8" s="97"/>
    </row>
    <row r="9" spans="1:13" ht="65.25" customHeight="1">
      <c r="A9" s="38" t="s">
        <v>53</v>
      </c>
      <c r="B9" s="39">
        <v>1000</v>
      </c>
      <c r="C9" s="68">
        <v>8400.2900000000009</v>
      </c>
      <c r="D9" s="68">
        <f>F9</f>
        <v>15240.17</v>
      </c>
      <c r="E9" s="68">
        <v>18391.009999999998</v>
      </c>
      <c r="F9" s="69">
        <v>15240.17</v>
      </c>
      <c r="G9" s="70">
        <f>F9-E9</f>
        <v>-3150.8399999999983</v>
      </c>
      <c r="H9" s="70">
        <f>F9/E9*100</f>
        <v>82.867498848622247</v>
      </c>
      <c r="I9" s="95" t="s">
        <v>497</v>
      </c>
      <c r="J9" s="97">
        <v>18391.009999999998</v>
      </c>
      <c r="K9" s="97">
        <f>J9/4*3</f>
        <v>13793.2575</v>
      </c>
      <c r="L9" s="76">
        <f>K9-E9</f>
        <v>-4597.7524999999987</v>
      </c>
      <c r="M9" s="3">
        <f>4923.53+4386.59+4286.35</f>
        <v>13596.47</v>
      </c>
    </row>
    <row r="10" spans="1:13" ht="30">
      <c r="A10" s="37" t="s">
        <v>55</v>
      </c>
      <c r="B10" s="36">
        <v>1010</v>
      </c>
      <c r="C10" s="67">
        <f t="shared" ref="C10:D10" si="0">C11+C12+C13+C14+C15+C16+C17+C18</f>
        <v>-5175.1299999999992</v>
      </c>
      <c r="D10" s="67">
        <f t="shared" si="0"/>
        <v>-10981.31</v>
      </c>
      <c r="E10" s="67">
        <f>E11+E12+E13+E14+E15+E16+E17+E18</f>
        <v>-13178.41</v>
      </c>
      <c r="F10" s="67">
        <f>F11+F12+F13+F14+F15+F16+F17+F18</f>
        <v>-10981.31</v>
      </c>
      <c r="G10" s="70">
        <f t="shared" ref="G10:G74" si="1">F10-E10</f>
        <v>2197.1000000000004</v>
      </c>
      <c r="H10" s="70">
        <f t="shared" ref="H10:H66" si="2">F10/E10*100</f>
        <v>83.328034262099905</v>
      </c>
      <c r="I10" s="95" t="s">
        <v>490</v>
      </c>
      <c r="J10" s="67">
        <f>J11+J12+J13+J14+J15+J16+J17+J18</f>
        <v>-13178.42</v>
      </c>
      <c r="K10" s="97">
        <f t="shared" ref="K10:K74" si="3">J10/4*3</f>
        <v>-9883.8150000000005</v>
      </c>
      <c r="L10" s="76">
        <f t="shared" ref="L10:L77" si="4">K10-E10</f>
        <v>3294.5949999999993</v>
      </c>
      <c r="M10" s="3">
        <f>-3628.64-3063.2-2979.67</f>
        <v>-9671.51</v>
      </c>
    </row>
    <row r="11" spans="1:13" ht="30">
      <c r="A11" s="37" t="s">
        <v>200</v>
      </c>
      <c r="B11" s="36">
        <v>1011</v>
      </c>
      <c r="C11" s="68">
        <v>-412.1</v>
      </c>
      <c r="D11" s="68">
        <f>F11</f>
        <v>-1125.73</v>
      </c>
      <c r="E11" s="68">
        <v>-1392.79</v>
      </c>
      <c r="F11" s="69">
        <v>-1125.73</v>
      </c>
      <c r="G11" s="70">
        <f t="shared" si="1"/>
        <v>267.05999999999995</v>
      </c>
      <c r="H11" s="70">
        <f t="shared" si="2"/>
        <v>80.825537231025507</v>
      </c>
      <c r="I11" s="95" t="s">
        <v>499</v>
      </c>
      <c r="J11" s="97">
        <v>-1392.8</v>
      </c>
      <c r="K11" s="97">
        <f t="shared" si="3"/>
        <v>-1044.5999999999999</v>
      </c>
      <c r="L11" s="76">
        <f t="shared" si="4"/>
        <v>348.19000000000005</v>
      </c>
    </row>
    <row r="12" spans="1:13" ht="75">
      <c r="A12" s="37" t="s">
        <v>201</v>
      </c>
      <c r="B12" s="36">
        <v>1012</v>
      </c>
      <c r="C12" s="68">
        <v>-146.91</v>
      </c>
      <c r="D12" s="68">
        <f t="shared" ref="D12:D21" si="5">F12</f>
        <v>-220.85</v>
      </c>
      <c r="E12" s="68">
        <v>-389</v>
      </c>
      <c r="F12" s="69">
        <v>-220.85</v>
      </c>
      <c r="G12" s="70">
        <f t="shared" si="1"/>
        <v>168.15</v>
      </c>
      <c r="H12" s="70">
        <f t="shared" si="2"/>
        <v>56.77377892030848</v>
      </c>
      <c r="I12" s="95" t="s">
        <v>496</v>
      </c>
      <c r="J12" s="97">
        <v>-389</v>
      </c>
      <c r="K12" s="97">
        <f t="shared" si="3"/>
        <v>-291.75</v>
      </c>
      <c r="L12" s="76">
        <f t="shared" si="4"/>
        <v>97.25</v>
      </c>
    </row>
    <row r="13" spans="1:13" ht="45">
      <c r="A13" s="37" t="s">
        <v>487</v>
      </c>
      <c r="B13" s="36">
        <v>1013</v>
      </c>
      <c r="C13" s="68">
        <v>-470.83</v>
      </c>
      <c r="D13" s="68">
        <f t="shared" si="5"/>
        <v>-1234.6500000000001</v>
      </c>
      <c r="E13" s="68">
        <v>-1726.67</v>
      </c>
      <c r="F13" s="69">
        <v>-1234.6500000000001</v>
      </c>
      <c r="G13" s="70">
        <f t="shared" si="1"/>
        <v>492.02</v>
      </c>
      <c r="H13" s="70">
        <f t="shared" si="2"/>
        <v>71.504688214887608</v>
      </c>
      <c r="I13" s="110" t="s">
        <v>526</v>
      </c>
      <c r="J13" s="97">
        <v>-1726.67</v>
      </c>
      <c r="K13" s="97">
        <f t="shared" si="3"/>
        <v>-1295.0025000000001</v>
      </c>
      <c r="L13" s="76">
        <f t="shared" si="4"/>
        <v>431.66750000000002</v>
      </c>
    </row>
    <row r="14" spans="1:13" ht="33" customHeight="1">
      <c r="A14" s="37" t="s">
        <v>95</v>
      </c>
      <c r="B14" s="36">
        <v>1014</v>
      </c>
      <c r="C14" s="68">
        <v>-2613.64</v>
      </c>
      <c r="D14" s="68">
        <f t="shared" si="5"/>
        <v>-5760.82</v>
      </c>
      <c r="E14" s="68">
        <v>-7129.95</v>
      </c>
      <c r="F14" s="69">
        <v>-5760.82</v>
      </c>
      <c r="G14" s="70">
        <f t="shared" si="1"/>
        <v>1369.13</v>
      </c>
      <c r="H14" s="70">
        <f t="shared" si="2"/>
        <v>80.797481048254198</v>
      </c>
      <c r="I14" s="135" t="s">
        <v>498</v>
      </c>
      <c r="J14" s="97">
        <v>-7129.95</v>
      </c>
      <c r="K14" s="97">
        <f t="shared" si="3"/>
        <v>-5347.4624999999996</v>
      </c>
      <c r="L14" s="76">
        <f t="shared" si="4"/>
        <v>1782.4875000000002</v>
      </c>
    </row>
    <row r="15" spans="1:13" ht="24.75" customHeight="1">
      <c r="A15" s="37" t="s">
        <v>96</v>
      </c>
      <c r="B15" s="36">
        <v>1015</v>
      </c>
      <c r="C15" s="68">
        <v>-586.73</v>
      </c>
      <c r="D15" s="68">
        <f t="shared" si="5"/>
        <v>-1277.2</v>
      </c>
      <c r="E15" s="68">
        <v>-1568.59</v>
      </c>
      <c r="F15" s="69">
        <v>-1277.2</v>
      </c>
      <c r="G15" s="70">
        <f t="shared" si="1"/>
        <v>291.38999999999987</v>
      </c>
      <c r="H15" s="70">
        <f t="shared" si="2"/>
        <v>81.423443984725139</v>
      </c>
      <c r="I15" s="136"/>
      <c r="J15" s="97">
        <v>-1568.59</v>
      </c>
      <c r="K15" s="97">
        <f t="shared" si="3"/>
        <v>-1176.4424999999999</v>
      </c>
      <c r="L15" s="76">
        <f t="shared" si="4"/>
        <v>392.14750000000004</v>
      </c>
    </row>
    <row r="16" spans="1:13" ht="75">
      <c r="A16" s="37" t="s">
        <v>202</v>
      </c>
      <c r="B16" s="36">
        <v>1016</v>
      </c>
      <c r="C16" s="68">
        <v>-68.8</v>
      </c>
      <c r="D16" s="68">
        <f t="shared" si="5"/>
        <v>-185.1</v>
      </c>
      <c r="E16" s="68">
        <v>-215.91</v>
      </c>
      <c r="F16" s="69">
        <v>-185.1</v>
      </c>
      <c r="G16" s="70">
        <f t="shared" si="1"/>
        <v>30.810000000000002</v>
      </c>
      <c r="H16" s="70">
        <f t="shared" si="2"/>
        <v>85.730165346672223</v>
      </c>
      <c r="I16" s="90" t="s">
        <v>491</v>
      </c>
      <c r="J16" s="97">
        <v>-215.91</v>
      </c>
      <c r="K16" s="97">
        <f t="shared" si="3"/>
        <v>-161.9325</v>
      </c>
      <c r="L16" s="76">
        <f t="shared" si="4"/>
        <v>53.977499999999992</v>
      </c>
    </row>
    <row r="17" spans="1:13" ht="60">
      <c r="A17" s="37" t="s">
        <v>203</v>
      </c>
      <c r="B17" s="36">
        <v>1017</v>
      </c>
      <c r="C17" s="68">
        <v>-452.88</v>
      </c>
      <c r="D17" s="68">
        <f t="shared" si="5"/>
        <v>-448</v>
      </c>
      <c r="E17" s="68">
        <v>-30.48</v>
      </c>
      <c r="F17" s="69">
        <v>-448</v>
      </c>
      <c r="G17" s="70">
        <f t="shared" si="1"/>
        <v>-417.52</v>
      </c>
      <c r="H17" s="70">
        <f t="shared" si="2"/>
        <v>1469.8162729658793</v>
      </c>
      <c r="I17" s="111" t="s">
        <v>527</v>
      </c>
      <c r="J17" s="97">
        <v>-30.48</v>
      </c>
      <c r="K17" s="97">
        <f t="shared" si="3"/>
        <v>-22.86</v>
      </c>
      <c r="L17" s="76">
        <f t="shared" si="4"/>
        <v>7.620000000000001</v>
      </c>
    </row>
    <row r="18" spans="1:13">
      <c r="A18" s="37" t="s">
        <v>204</v>
      </c>
      <c r="B18" s="36">
        <v>1018</v>
      </c>
      <c r="C18" s="68">
        <f t="shared" ref="C18:E18" si="6">C19+C20+C21</f>
        <v>-423.24</v>
      </c>
      <c r="D18" s="68">
        <f t="shared" si="6"/>
        <v>-728.95999999999992</v>
      </c>
      <c r="E18" s="93">
        <f t="shared" si="6"/>
        <v>-725.02</v>
      </c>
      <c r="F18" s="68">
        <f>F19+F20+F21</f>
        <v>-728.95999999999992</v>
      </c>
      <c r="G18" s="70">
        <f t="shared" si="1"/>
        <v>-3.9399999999999409</v>
      </c>
      <c r="H18" s="70">
        <f t="shared" si="2"/>
        <v>100.54343328459903</v>
      </c>
      <c r="I18" s="36" t="s">
        <v>91</v>
      </c>
      <c r="J18" s="93">
        <f t="shared" ref="J18" si="7">J19+J20+J21</f>
        <v>-725.02</v>
      </c>
      <c r="K18" s="97">
        <f t="shared" si="3"/>
        <v>-543.76499999999999</v>
      </c>
      <c r="L18" s="76">
        <f t="shared" si="4"/>
        <v>181.255</v>
      </c>
      <c r="M18" s="3">
        <f>-181.26-181.26-181.26</f>
        <v>-543.78</v>
      </c>
    </row>
    <row r="19" spans="1:13" ht="75">
      <c r="A19" s="59" t="s">
        <v>484</v>
      </c>
      <c r="B19" s="36" t="s">
        <v>481</v>
      </c>
      <c r="C19" s="68">
        <v>-374.25</v>
      </c>
      <c r="D19" s="68">
        <f t="shared" si="5"/>
        <v>-685.02</v>
      </c>
      <c r="E19" s="68">
        <v>-617.02</v>
      </c>
      <c r="F19" s="68">
        <v>-685.02</v>
      </c>
      <c r="G19" s="70">
        <f t="shared" si="1"/>
        <v>-68</v>
      </c>
      <c r="H19" s="70">
        <f t="shared" si="2"/>
        <v>111.02071245664646</v>
      </c>
      <c r="I19" s="111" t="s">
        <v>528</v>
      </c>
      <c r="J19" s="97">
        <v>-617.02</v>
      </c>
      <c r="K19" s="97">
        <f t="shared" si="3"/>
        <v>-462.76499999999999</v>
      </c>
      <c r="L19" s="76">
        <f t="shared" si="4"/>
        <v>154.255</v>
      </c>
    </row>
    <row r="20" spans="1:13" ht="45">
      <c r="A20" s="59" t="s">
        <v>485</v>
      </c>
      <c r="B20" s="36" t="s">
        <v>482</v>
      </c>
      <c r="C20" s="68">
        <v>-40.35</v>
      </c>
      <c r="D20" s="68">
        <f t="shared" si="5"/>
        <v>-31.66</v>
      </c>
      <c r="E20" s="68">
        <v>-73.5</v>
      </c>
      <c r="F20" s="68">
        <v>-31.66</v>
      </c>
      <c r="G20" s="70">
        <f t="shared" si="1"/>
        <v>41.84</v>
      </c>
      <c r="H20" s="70">
        <f t="shared" si="2"/>
        <v>43.074829931972793</v>
      </c>
      <c r="I20" s="111" t="s">
        <v>529</v>
      </c>
      <c r="J20" s="97">
        <v>-73.5</v>
      </c>
      <c r="K20" s="97">
        <f t="shared" si="3"/>
        <v>-55.125</v>
      </c>
      <c r="L20" s="76">
        <f t="shared" si="4"/>
        <v>18.375</v>
      </c>
    </row>
    <row r="21" spans="1:13" ht="30">
      <c r="A21" s="59" t="s">
        <v>486</v>
      </c>
      <c r="B21" s="36" t="s">
        <v>483</v>
      </c>
      <c r="C21" s="68">
        <v>-8.64</v>
      </c>
      <c r="D21" s="68">
        <f t="shared" si="5"/>
        <v>-12.28</v>
      </c>
      <c r="E21" s="68">
        <v>-34.5</v>
      </c>
      <c r="F21" s="68">
        <v>-12.28</v>
      </c>
      <c r="G21" s="70">
        <f t="shared" si="1"/>
        <v>22.22</v>
      </c>
      <c r="H21" s="70">
        <f t="shared" si="2"/>
        <v>35.594202898550726</v>
      </c>
      <c r="I21" s="111" t="s">
        <v>530</v>
      </c>
      <c r="J21" s="97">
        <v>-34.5</v>
      </c>
      <c r="K21" s="97">
        <f t="shared" si="3"/>
        <v>-25.875</v>
      </c>
      <c r="L21" s="76">
        <f t="shared" si="4"/>
        <v>8.625</v>
      </c>
    </row>
    <row r="22" spans="1:13">
      <c r="A22" s="38" t="s">
        <v>205</v>
      </c>
      <c r="B22" s="39">
        <v>1020</v>
      </c>
      <c r="C22" s="66">
        <f t="shared" ref="C22:D22" si="8">C9+C10</f>
        <v>3225.1600000000017</v>
      </c>
      <c r="D22" s="66">
        <f t="shared" si="8"/>
        <v>4258.8600000000006</v>
      </c>
      <c r="E22" s="66">
        <f>E9+E10</f>
        <v>5212.5999999999985</v>
      </c>
      <c r="F22" s="66">
        <f>F9+F10</f>
        <v>4258.8600000000006</v>
      </c>
      <c r="G22" s="70">
        <f t="shared" si="1"/>
        <v>-953.73999999999796</v>
      </c>
      <c r="H22" s="70">
        <f t="shared" si="2"/>
        <v>81.703180754326084</v>
      </c>
      <c r="I22" s="36" t="s">
        <v>91</v>
      </c>
      <c r="J22" s="66">
        <f>J9+J10</f>
        <v>5212.5899999999983</v>
      </c>
      <c r="K22" s="97">
        <f t="shared" si="3"/>
        <v>3909.4424999999987</v>
      </c>
      <c r="L22" s="76">
        <f t="shared" si="4"/>
        <v>-1303.1574999999998</v>
      </c>
      <c r="M22" s="3">
        <f>1294.89+1305.38+1306.68</f>
        <v>3906.9500000000007</v>
      </c>
    </row>
    <row r="23" spans="1:13" ht="30">
      <c r="A23" s="37" t="s">
        <v>57</v>
      </c>
      <c r="B23" s="36">
        <v>1030</v>
      </c>
      <c r="C23" s="67">
        <f t="shared" ref="C23:E23" si="9">C24+C27+C29+C30+C31+C32+C38+C39+C42+C43+C45+C37</f>
        <v>-2192.1000000000004</v>
      </c>
      <c r="D23" s="67">
        <f t="shared" si="9"/>
        <v>-4906.8099999999995</v>
      </c>
      <c r="E23" s="67">
        <f t="shared" si="9"/>
        <v>-5215</v>
      </c>
      <c r="F23" s="67">
        <f>F24+F27+F29+F30+F31+F32+F38+F39+F42+F43+F45+F37</f>
        <v>-4906.8099999999995</v>
      </c>
      <c r="G23" s="70">
        <f t="shared" si="1"/>
        <v>308.19000000000051</v>
      </c>
      <c r="H23" s="70">
        <f t="shared" si="2"/>
        <v>94.090316395014369</v>
      </c>
      <c r="I23" s="36" t="s">
        <v>91</v>
      </c>
      <c r="J23" s="67">
        <f>J24+J27+J29+J30+J31+J32+J38+J39+J42+J43+J45</f>
        <v>-5215</v>
      </c>
      <c r="K23" s="97">
        <f t="shared" si="3"/>
        <v>-3911.25</v>
      </c>
      <c r="L23" s="76">
        <f t="shared" si="4"/>
        <v>1303.75</v>
      </c>
      <c r="M23" s="3">
        <f>-1295.49-1305.98-1307.28</f>
        <v>-3908.75</v>
      </c>
    </row>
    <row r="24" spans="1:13" ht="30">
      <c r="A24" s="37" t="s">
        <v>58</v>
      </c>
      <c r="B24" s="36">
        <v>1031</v>
      </c>
      <c r="C24" s="68">
        <v>-32.64</v>
      </c>
      <c r="D24" s="68">
        <f t="shared" ref="D24:D54" si="10">F24</f>
        <v>-63.91</v>
      </c>
      <c r="E24" s="68">
        <v>-39.450000000000003</v>
      </c>
      <c r="F24" s="68">
        <v>-63.91</v>
      </c>
      <c r="G24" s="70">
        <f t="shared" si="1"/>
        <v>-24.459999999999994</v>
      </c>
      <c r="H24" s="70">
        <f t="shared" si="2"/>
        <v>162.00253485424585</v>
      </c>
      <c r="I24" s="100"/>
      <c r="J24" s="97">
        <v>-39.450000000000003</v>
      </c>
      <c r="K24" s="97">
        <f t="shared" si="3"/>
        <v>-29.587500000000002</v>
      </c>
      <c r="L24" s="76">
        <f t="shared" si="4"/>
        <v>9.8625000000000007</v>
      </c>
    </row>
    <row r="25" spans="1:13" ht="30">
      <c r="A25" s="37" t="s">
        <v>60</v>
      </c>
      <c r="B25" s="36">
        <v>1032</v>
      </c>
      <c r="C25" s="68"/>
      <c r="D25" s="68">
        <f t="shared" si="10"/>
        <v>0</v>
      </c>
      <c r="E25" s="68">
        <v>0</v>
      </c>
      <c r="F25" s="68"/>
      <c r="G25" s="70" t="s">
        <v>54</v>
      </c>
      <c r="H25" s="70" t="s">
        <v>54</v>
      </c>
      <c r="I25" s="36" t="s">
        <v>91</v>
      </c>
      <c r="J25" s="97"/>
      <c r="K25" s="97">
        <f t="shared" si="3"/>
        <v>0</v>
      </c>
      <c r="L25" s="76">
        <f t="shared" si="4"/>
        <v>0</v>
      </c>
    </row>
    <row r="26" spans="1:13">
      <c r="A26" s="37" t="s">
        <v>61</v>
      </c>
      <c r="B26" s="36">
        <v>1033</v>
      </c>
      <c r="C26" s="68"/>
      <c r="D26" s="68">
        <f t="shared" si="10"/>
        <v>0</v>
      </c>
      <c r="E26" s="68"/>
      <c r="F26" s="68"/>
      <c r="G26" s="70" t="s">
        <v>54</v>
      </c>
      <c r="H26" s="70" t="s">
        <v>54</v>
      </c>
      <c r="I26" s="36" t="s">
        <v>91</v>
      </c>
      <c r="J26" s="97"/>
      <c r="K26" s="97">
        <f t="shared" si="3"/>
        <v>0</v>
      </c>
      <c r="L26" s="76">
        <f t="shared" si="4"/>
        <v>0</v>
      </c>
    </row>
    <row r="27" spans="1:13">
      <c r="A27" s="37" t="s">
        <v>62</v>
      </c>
      <c r="B27" s="36">
        <v>1034</v>
      </c>
      <c r="C27" s="68">
        <v>-2.72</v>
      </c>
      <c r="D27" s="68">
        <f t="shared" si="10"/>
        <v>-5.59</v>
      </c>
      <c r="E27" s="68">
        <v>-6.15</v>
      </c>
      <c r="F27" s="68">
        <v>-5.59</v>
      </c>
      <c r="G27" s="70">
        <f t="shared" si="1"/>
        <v>0.5600000000000005</v>
      </c>
      <c r="H27" s="70">
        <f t="shared" si="2"/>
        <v>90.894308943089413</v>
      </c>
      <c r="I27" s="36" t="s">
        <v>91</v>
      </c>
      <c r="J27" s="97">
        <v>-6.15</v>
      </c>
      <c r="K27" s="97">
        <f t="shared" si="3"/>
        <v>-4.6125000000000007</v>
      </c>
      <c r="L27" s="76">
        <f t="shared" si="4"/>
        <v>1.5374999999999996</v>
      </c>
    </row>
    <row r="28" spans="1:13">
      <c r="A28" s="37" t="s">
        <v>63</v>
      </c>
      <c r="B28" s="36">
        <v>1035</v>
      </c>
      <c r="C28" s="68"/>
      <c r="D28" s="68">
        <f t="shared" si="10"/>
        <v>0</v>
      </c>
      <c r="E28" s="68" t="s">
        <v>59</v>
      </c>
      <c r="F28" s="68">
        <v>0</v>
      </c>
      <c r="G28" s="70" t="s">
        <v>54</v>
      </c>
      <c r="H28" s="70" t="s">
        <v>54</v>
      </c>
      <c r="I28" s="36" t="s">
        <v>91</v>
      </c>
      <c r="J28" s="97"/>
      <c r="K28" s="97">
        <f t="shared" si="3"/>
        <v>0</v>
      </c>
      <c r="L28" s="76" t="e">
        <f t="shared" si="4"/>
        <v>#VALUE!</v>
      </c>
    </row>
    <row r="29" spans="1:13" ht="32.25" customHeight="1">
      <c r="A29" s="37" t="s">
        <v>206</v>
      </c>
      <c r="B29" s="36">
        <v>1036</v>
      </c>
      <c r="C29" s="68">
        <v>-30.27</v>
      </c>
      <c r="D29" s="68">
        <f t="shared" si="10"/>
        <v>-36.99</v>
      </c>
      <c r="E29" s="68">
        <v>-52.56</v>
      </c>
      <c r="F29" s="68">
        <v>-36.99</v>
      </c>
      <c r="G29" s="70">
        <f t="shared" si="1"/>
        <v>15.57</v>
      </c>
      <c r="H29" s="70">
        <f t="shared" si="2"/>
        <v>70.376712328767127</v>
      </c>
      <c r="I29" s="89" t="s">
        <v>489</v>
      </c>
      <c r="J29" s="97">
        <v>-52.56</v>
      </c>
      <c r="K29" s="97">
        <f t="shared" si="3"/>
        <v>-39.42</v>
      </c>
      <c r="L29" s="76">
        <f t="shared" si="4"/>
        <v>13.14</v>
      </c>
    </row>
    <row r="30" spans="1:13">
      <c r="A30" s="37" t="s">
        <v>207</v>
      </c>
      <c r="B30" s="36">
        <v>1037</v>
      </c>
      <c r="C30" s="68">
        <v>-9.1999999999999993</v>
      </c>
      <c r="D30" s="68">
        <f t="shared" si="10"/>
        <v>-23.8</v>
      </c>
      <c r="E30" s="68">
        <v>-24.06</v>
      </c>
      <c r="F30" s="68">
        <v>-23.8</v>
      </c>
      <c r="G30" s="70">
        <f t="shared" si="1"/>
        <v>0.25999999999999801</v>
      </c>
      <c r="H30" s="70">
        <f t="shared" si="2"/>
        <v>98.919368246051548</v>
      </c>
      <c r="I30" s="36" t="s">
        <v>91</v>
      </c>
      <c r="J30" s="97">
        <v>-24.06</v>
      </c>
      <c r="K30" s="97">
        <f t="shared" si="3"/>
        <v>-18.044999999999998</v>
      </c>
      <c r="L30" s="76">
        <f t="shared" si="4"/>
        <v>6.0150000000000006</v>
      </c>
    </row>
    <row r="31" spans="1:13" ht="33.75" customHeight="1">
      <c r="A31" s="37" t="s">
        <v>208</v>
      </c>
      <c r="B31" s="36">
        <v>1038</v>
      </c>
      <c r="C31" s="68">
        <v>-1554.13</v>
      </c>
      <c r="D31" s="68">
        <f t="shared" si="10"/>
        <v>-3430.73</v>
      </c>
      <c r="E31" s="68">
        <v>-4000.83</v>
      </c>
      <c r="F31" s="69">
        <v>-3430.73</v>
      </c>
      <c r="G31" s="70">
        <f t="shared" si="1"/>
        <v>570.09999999999991</v>
      </c>
      <c r="H31" s="70">
        <f t="shared" si="2"/>
        <v>85.750456780218116</v>
      </c>
      <c r="I31" s="135" t="s">
        <v>498</v>
      </c>
      <c r="J31" s="97">
        <v>-4000.83</v>
      </c>
      <c r="K31" s="97">
        <f t="shared" si="3"/>
        <v>-3000.6224999999999</v>
      </c>
      <c r="L31" s="76">
        <f t="shared" si="4"/>
        <v>1000.2075</v>
      </c>
    </row>
    <row r="32" spans="1:13" ht="24" customHeight="1">
      <c r="A32" s="37" t="s">
        <v>209</v>
      </c>
      <c r="B32" s="36">
        <v>1039</v>
      </c>
      <c r="C32" s="68">
        <v>-366.26</v>
      </c>
      <c r="D32" s="68">
        <f t="shared" si="10"/>
        <v>-784.18</v>
      </c>
      <c r="E32" s="68">
        <v>-880.18</v>
      </c>
      <c r="F32" s="69">
        <v>-784.18</v>
      </c>
      <c r="G32" s="70">
        <f t="shared" si="1"/>
        <v>96</v>
      </c>
      <c r="H32" s="70">
        <f t="shared" si="2"/>
        <v>89.09314003953736</v>
      </c>
      <c r="I32" s="136"/>
      <c r="J32" s="97">
        <v>-880.18</v>
      </c>
      <c r="K32" s="97">
        <f t="shared" si="3"/>
        <v>-660.13499999999999</v>
      </c>
      <c r="L32" s="76">
        <f t="shared" si="4"/>
        <v>220.04499999999996</v>
      </c>
    </row>
    <row r="33" spans="1:13" ht="60">
      <c r="A33" s="37" t="s">
        <v>210</v>
      </c>
      <c r="B33" s="36">
        <v>1040</v>
      </c>
      <c r="C33" s="68"/>
      <c r="D33" s="68">
        <f t="shared" si="10"/>
        <v>0</v>
      </c>
      <c r="E33" s="68"/>
      <c r="F33" s="68"/>
      <c r="G33" s="70" t="s">
        <v>54</v>
      </c>
      <c r="H33" s="70" t="s">
        <v>54</v>
      </c>
      <c r="I33" s="36" t="s">
        <v>91</v>
      </c>
      <c r="J33" s="97"/>
      <c r="K33" s="97">
        <f t="shared" si="3"/>
        <v>0</v>
      </c>
      <c r="L33" s="76">
        <f t="shared" si="4"/>
        <v>0</v>
      </c>
    </row>
    <row r="34" spans="1:13" ht="60">
      <c r="A34" s="37" t="s">
        <v>211</v>
      </c>
      <c r="B34" s="36">
        <v>1041</v>
      </c>
      <c r="C34" s="68"/>
      <c r="D34" s="68">
        <f t="shared" si="10"/>
        <v>0</v>
      </c>
      <c r="E34" s="68"/>
      <c r="F34" s="68"/>
      <c r="G34" s="70" t="s">
        <v>54</v>
      </c>
      <c r="H34" s="70" t="s">
        <v>54</v>
      </c>
      <c r="I34" s="36" t="s">
        <v>91</v>
      </c>
      <c r="J34" s="97"/>
      <c r="K34" s="97">
        <f t="shared" si="3"/>
        <v>0</v>
      </c>
      <c r="L34" s="76">
        <f t="shared" si="4"/>
        <v>0</v>
      </c>
    </row>
    <row r="35" spans="1:13" ht="45">
      <c r="A35" s="37" t="s">
        <v>212</v>
      </c>
      <c r="B35" s="36">
        <v>1042</v>
      </c>
      <c r="C35" s="68"/>
      <c r="D35" s="68">
        <f t="shared" si="10"/>
        <v>0</v>
      </c>
      <c r="E35" s="68"/>
      <c r="F35" s="68"/>
      <c r="G35" s="70" t="s">
        <v>54</v>
      </c>
      <c r="H35" s="70" t="s">
        <v>54</v>
      </c>
      <c r="I35" s="36" t="s">
        <v>91</v>
      </c>
      <c r="J35" s="97"/>
      <c r="K35" s="97">
        <f t="shared" si="3"/>
        <v>0</v>
      </c>
      <c r="L35" s="76">
        <f t="shared" si="4"/>
        <v>0</v>
      </c>
    </row>
    <row r="36" spans="1:13" ht="30">
      <c r="A36" s="37" t="s">
        <v>213</v>
      </c>
      <c r="B36" s="36">
        <v>1043</v>
      </c>
      <c r="C36" s="68"/>
      <c r="D36" s="68">
        <f t="shared" si="10"/>
        <v>0</v>
      </c>
      <c r="E36" s="68"/>
      <c r="F36" s="68"/>
      <c r="G36" s="70" t="s">
        <v>54</v>
      </c>
      <c r="H36" s="70" t="s">
        <v>54</v>
      </c>
      <c r="I36" s="36" t="s">
        <v>91</v>
      </c>
      <c r="J36" s="97"/>
      <c r="K36" s="97">
        <f t="shared" si="3"/>
        <v>0</v>
      </c>
      <c r="L36" s="76">
        <f t="shared" si="4"/>
        <v>0</v>
      </c>
    </row>
    <row r="37" spans="1:13" ht="60">
      <c r="A37" s="37" t="s">
        <v>214</v>
      </c>
      <c r="B37" s="36">
        <v>1044</v>
      </c>
      <c r="C37" s="68"/>
      <c r="D37" s="68">
        <f t="shared" si="10"/>
        <v>-3</v>
      </c>
      <c r="E37" s="68"/>
      <c r="F37" s="68">
        <v>-3</v>
      </c>
      <c r="G37" s="70" t="s">
        <v>54</v>
      </c>
      <c r="H37" s="70" t="s">
        <v>54</v>
      </c>
      <c r="I37" s="36" t="s">
        <v>500</v>
      </c>
      <c r="J37" s="97"/>
      <c r="K37" s="97">
        <f t="shared" si="3"/>
        <v>0</v>
      </c>
      <c r="L37" s="76">
        <f t="shared" si="4"/>
        <v>0</v>
      </c>
    </row>
    <row r="38" spans="1:13" ht="30">
      <c r="A38" s="37" t="s">
        <v>215</v>
      </c>
      <c r="B38" s="36">
        <v>1045</v>
      </c>
      <c r="C38" s="68">
        <v>-7</v>
      </c>
      <c r="D38" s="68">
        <f t="shared" si="10"/>
        <v>-62.12</v>
      </c>
      <c r="E38" s="68">
        <v>-7.5</v>
      </c>
      <c r="F38" s="68">
        <v>-62.12</v>
      </c>
      <c r="G38" s="70">
        <f t="shared" si="1"/>
        <v>-54.62</v>
      </c>
      <c r="H38" s="70">
        <f t="shared" si="2"/>
        <v>828.26666666666654</v>
      </c>
      <c r="I38" s="36" t="s">
        <v>91</v>
      </c>
      <c r="J38" s="97">
        <v>-7.5</v>
      </c>
      <c r="K38" s="97">
        <f t="shared" si="3"/>
        <v>-5.625</v>
      </c>
      <c r="L38" s="76">
        <f t="shared" si="4"/>
        <v>1.875</v>
      </c>
    </row>
    <row r="39" spans="1:13" ht="45">
      <c r="A39" s="37" t="s">
        <v>216</v>
      </c>
      <c r="B39" s="36">
        <v>1046</v>
      </c>
      <c r="C39" s="68">
        <v>-27.5</v>
      </c>
      <c r="D39" s="68">
        <f t="shared" si="10"/>
        <v>-2.2000000000000002</v>
      </c>
      <c r="E39" s="68">
        <v>0</v>
      </c>
      <c r="F39" s="68">
        <v>-2.2000000000000002</v>
      </c>
      <c r="G39" s="70">
        <f t="shared" si="1"/>
        <v>-2.2000000000000002</v>
      </c>
      <c r="H39" s="70" t="e">
        <f t="shared" si="2"/>
        <v>#DIV/0!</v>
      </c>
      <c r="I39" s="36" t="s">
        <v>501</v>
      </c>
      <c r="J39" s="97"/>
      <c r="K39" s="97">
        <f t="shared" si="3"/>
        <v>0</v>
      </c>
      <c r="L39" s="76">
        <f t="shared" si="4"/>
        <v>0</v>
      </c>
    </row>
    <row r="40" spans="1:13">
      <c r="A40" s="37" t="s">
        <v>217</v>
      </c>
      <c r="B40" s="36">
        <v>1047</v>
      </c>
      <c r="C40" s="68"/>
      <c r="D40" s="68">
        <f t="shared" si="10"/>
        <v>0</v>
      </c>
      <c r="E40" s="68"/>
      <c r="F40" s="68"/>
      <c r="G40" s="70" t="s">
        <v>54</v>
      </c>
      <c r="H40" s="70" t="s">
        <v>54</v>
      </c>
      <c r="I40" s="36" t="s">
        <v>91</v>
      </c>
      <c r="J40" s="97"/>
      <c r="K40" s="97">
        <f t="shared" si="3"/>
        <v>0</v>
      </c>
      <c r="L40" s="76">
        <f t="shared" si="4"/>
        <v>0</v>
      </c>
    </row>
    <row r="41" spans="1:13" ht="30">
      <c r="A41" s="37" t="s">
        <v>218</v>
      </c>
      <c r="B41" s="36">
        <v>1048</v>
      </c>
      <c r="C41" s="68"/>
      <c r="D41" s="68">
        <f t="shared" si="10"/>
        <v>0</v>
      </c>
      <c r="E41" s="68"/>
      <c r="F41" s="68"/>
      <c r="G41" s="70" t="s">
        <v>54</v>
      </c>
      <c r="H41" s="70" t="s">
        <v>54</v>
      </c>
      <c r="I41" s="36" t="s">
        <v>91</v>
      </c>
      <c r="J41" s="97"/>
      <c r="K41" s="97">
        <f t="shared" si="3"/>
        <v>0</v>
      </c>
      <c r="L41" s="76">
        <f t="shared" si="4"/>
        <v>0</v>
      </c>
    </row>
    <row r="42" spans="1:13" ht="105">
      <c r="A42" s="37" t="s">
        <v>219</v>
      </c>
      <c r="B42" s="36">
        <v>1049</v>
      </c>
      <c r="C42" s="68">
        <v>-6.53</v>
      </c>
      <c r="D42" s="68">
        <f t="shared" si="10"/>
        <v>-14.97</v>
      </c>
      <c r="E42" s="68">
        <v>-6.4</v>
      </c>
      <c r="F42" s="68">
        <v>-14.97</v>
      </c>
      <c r="G42" s="70">
        <f t="shared" si="1"/>
        <v>-8.57</v>
      </c>
      <c r="H42" s="70">
        <f t="shared" si="2"/>
        <v>233.90624999999997</v>
      </c>
      <c r="I42" s="100" t="s">
        <v>531</v>
      </c>
      <c r="J42" s="97">
        <v>-6.4</v>
      </c>
      <c r="K42" s="97">
        <f t="shared" si="3"/>
        <v>-4.8000000000000007</v>
      </c>
      <c r="L42" s="76">
        <f t="shared" si="4"/>
        <v>1.5999999999999996</v>
      </c>
    </row>
    <row r="43" spans="1:13" ht="120">
      <c r="A43" s="37" t="s">
        <v>220</v>
      </c>
      <c r="B43" s="36">
        <v>1050</v>
      </c>
      <c r="C43" s="68">
        <v>-91.51</v>
      </c>
      <c r="D43" s="68">
        <f t="shared" si="10"/>
        <v>-283.5</v>
      </c>
      <c r="E43" s="68">
        <v>-38.450000000000003</v>
      </c>
      <c r="F43" s="68">
        <v>-283.5</v>
      </c>
      <c r="G43" s="70">
        <f t="shared" si="1"/>
        <v>-245.05</v>
      </c>
      <c r="H43" s="70">
        <f t="shared" si="2"/>
        <v>737.32119635890763</v>
      </c>
      <c r="I43" s="111" t="s">
        <v>532</v>
      </c>
      <c r="J43" s="97">
        <v>-38.450000000000003</v>
      </c>
      <c r="K43" s="97">
        <f t="shared" si="3"/>
        <v>-28.837500000000002</v>
      </c>
      <c r="L43" s="76">
        <f t="shared" si="4"/>
        <v>9.6125000000000007</v>
      </c>
    </row>
    <row r="44" spans="1:13" ht="30">
      <c r="A44" s="37" t="s">
        <v>221</v>
      </c>
      <c r="B44" s="36" t="s">
        <v>222</v>
      </c>
      <c r="C44" s="68"/>
      <c r="D44" s="68"/>
      <c r="E44" s="68"/>
      <c r="F44" s="68"/>
      <c r="G44" s="70">
        <f t="shared" si="1"/>
        <v>0</v>
      </c>
      <c r="H44" s="70" t="s">
        <v>54</v>
      </c>
      <c r="I44" s="36" t="s">
        <v>91</v>
      </c>
      <c r="J44" s="97"/>
      <c r="K44" s="97">
        <f t="shared" si="3"/>
        <v>0</v>
      </c>
      <c r="L44" s="76">
        <f t="shared" si="4"/>
        <v>0</v>
      </c>
    </row>
    <row r="45" spans="1:13" ht="30">
      <c r="A45" s="37" t="s">
        <v>480</v>
      </c>
      <c r="B45" s="36">
        <v>1051</v>
      </c>
      <c r="C45" s="68">
        <f>SUM(C46:C54)</f>
        <v>-64.34</v>
      </c>
      <c r="D45" s="109">
        <f t="shared" ref="D45:F45" si="11">SUM(D46:D54)</f>
        <v>-195.82</v>
      </c>
      <c r="E45" s="109">
        <f t="shared" si="11"/>
        <v>-159.41999999999999</v>
      </c>
      <c r="F45" s="109">
        <f t="shared" si="11"/>
        <v>-195.82</v>
      </c>
      <c r="G45" s="70">
        <f t="shared" si="1"/>
        <v>-36.400000000000006</v>
      </c>
      <c r="H45" s="70">
        <f t="shared" si="2"/>
        <v>122.83276878685234</v>
      </c>
      <c r="I45" s="36" t="s">
        <v>91</v>
      </c>
      <c r="J45" s="93">
        <f>SUM(J46:J50)</f>
        <v>-159.41999999999999</v>
      </c>
      <c r="K45" s="97">
        <f t="shared" si="3"/>
        <v>-119.565</v>
      </c>
      <c r="L45" s="76">
        <f t="shared" si="4"/>
        <v>39.85499999999999</v>
      </c>
      <c r="M45" s="3">
        <f>-39.84-38.69-39.24</f>
        <v>-117.77000000000001</v>
      </c>
    </row>
    <row r="46" spans="1:13">
      <c r="A46" s="58" t="s">
        <v>477</v>
      </c>
      <c r="B46" s="36" t="s">
        <v>472</v>
      </c>
      <c r="C46" s="68">
        <v>-1.8</v>
      </c>
      <c r="D46" s="68">
        <f t="shared" si="10"/>
        <v>-3.6</v>
      </c>
      <c r="E46" s="68">
        <v>-3.96</v>
      </c>
      <c r="F46" s="68">
        <v>-3.6</v>
      </c>
      <c r="G46" s="70">
        <f t="shared" si="1"/>
        <v>0.35999999999999988</v>
      </c>
      <c r="H46" s="70">
        <f t="shared" si="2"/>
        <v>90.909090909090921</v>
      </c>
      <c r="I46" s="95"/>
      <c r="J46" s="97">
        <v>-3.96</v>
      </c>
      <c r="K46" s="97">
        <f t="shared" si="3"/>
        <v>-2.9699999999999998</v>
      </c>
      <c r="L46" s="76">
        <f t="shared" si="4"/>
        <v>0.99000000000000021</v>
      </c>
    </row>
    <row r="47" spans="1:13" ht="30">
      <c r="A47" s="58" t="s">
        <v>468</v>
      </c>
      <c r="B47" s="36" t="s">
        <v>473</v>
      </c>
      <c r="C47" s="68">
        <v>-27.3</v>
      </c>
      <c r="D47" s="68">
        <f t="shared" si="10"/>
        <v>-61.97</v>
      </c>
      <c r="E47" s="68">
        <v>-90</v>
      </c>
      <c r="F47" s="68">
        <v>-61.97</v>
      </c>
      <c r="G47" s="70">
        <f t="shared" si="1"/>
        <v>28.03</v>
      </c>
      <c r="H47" s="70">
        <f t="shared" si="2"/>
        <v>68.855555555555554</v>
      </c>
      <c r="I47" s="36" t="s">
        <v>502</v>
      </c>
      <c r="J47" s="97">
        <v>-90</v>
      </c>
      <c r="K47" s="97">
        <f t="shared" si="3"/>
        <v>-67.5</v>
      </c>
      <c r="L47" s="76">
        <f t="shared" si="4"/>
        <v>22.5</v>
      </c>
    </row>
    <row r="48" spans="1:13">
      <c r="A48" s="58" t="s">
        <v>478</v>
      </c>
      <c r="B48" s="36" t="s">
        <v>474</v>
      </c>
      <c r="C48" s="68">
        <v>-0.39</v>
      </c>
      <c r="D48" s="68">
        <f t="shared" si="10"/>
        <v>-1.02</v>
      </c>
      <c r="E48" s="68">
        <v>-6</v>
      </c>
      <c r="F48" s="68">
        <v>-1.02</v>
      </c>
      <c r="G48" s="70">
        <f t="shared" si="1"/>
        <v>4.9800000000000004</v>
      </c>
      <c r="H48" s="70">
        <f t="shared" si="2"/>
        <v>17</v>
      </c>
      <c r="I48" s="36"/>
      <c r="J48" s="97">
        <v>-6</v>
      </c>
      <c r="K48" s="97">
        <f t="shared" si="3"/>
        <v>-4.5</v>
      </c>
      <c r="L48" s="76">
        <f t="shared" si="4"/>
        <v>1.5</v>
      </c>
    </row>
    <row r="49" spans="1:12" ht="30">
      <c r="A49" s="58" t="s">
        <v>93</v>
      </c>
      <c r="B49" s="36" t="s">
        <v>475</v>
      </c>
      <c r="C49" s="68">
        <v>-31.03</v>
      </c>
      <c r="D49" s="68">
        <f t="shared" si="10"/>
        <v>-36.04</v>
      </c>
      <c r="E49" s="68">
        <v>-56</v>
      </c>
      <c r="F49" s="69">
        <v>-36.04</v>
      </c>
      <c r="G49" s="70">
        <f t="shared" si="1"/>
        <v>19.96</v>
      </c>
      <c r="H49" s="70">
        <f t="shared" si="2"/>
        <v>64.357142857142861</v>
      </c>
      <c r="I49" s="98" t="s">
        <v>499</v>
      </c>
      <c r="J49" s="97">
        <v>-56</v>
      </c>
      <c r="K49" s="97">
        <f t="shared" si="3"/>
        <v>-42</v>
      </c>
      <c r="L49" s="76">
        <f t="shared" si="4"/>
        <v>14</v>
      </c>
    </row>
    <row r="50" spans="1:12">
      <c r="A50" s="59" t="s">
        <v>479</v>
      </c>
      <c r="B50" s="36" t="s">
        <v>476</v>
      </c>
      <c r="C50" s="68">
        <v>-3.82</v>
      </c>
      <c r="D50" s="68">
        <f t="shared" si="10"/>
        <v>-3</v>
      </c>
      <c r="E50" s="68">
        <v>-3.46</v>
      </c>
      <c r="F50" s="68">
        <v>-3</v>
      </c>
      <c r="G50" s="70">
        <f t="shared" si="1"/>
        <v>0.45999999999999996</v>
      </c>
      <c r="H50" s="70">
        <f t="shared" si="2"/>
        <v>86.705202312138724</v>
      </c>
      <c r="I50" s="95"/>
      <c r="J50" s="97">
        <v>-3.46</v>
      </c>
      <c r="K50" s="97">
        <f t="shared" si="3"/>
        <v>-2.5949999999999998</v>
      </c>
      <c r="L50" s="76">
        <f t="shared" si="4"/>
        <v>0.86500000000000021</v>
      </c>
    </row>
    <row r="51" spans="1:12" ht="30">
      <c r="A51" s="59" t="s">
        <v>509</v>
      </c>
      <c r="B51" s="102" t="s">
        <v>505</v>
      </c>
      <c r="C51" s="103"/>
      <c r="D51" s="103">
        <f t="shared" si="10"/>
        <v>-0.7</v>
      </c>
      <c r="E51" s="103">
        <v>0</v>
      </c>
      <c r="F51" s="103">
        <v>-0.7</v>
      </c>
      <c r="G51" s="70">
        <f t="shared" ref="G51:G53" si="12">F51-E51</f>
        <v>-0.7</v>
      </c>
      <c r="H51" s="70" t="e">
        <f t="shared" ref="H51:H53" si="13">F51/E51*100</f>
        <v>#DIV/0!</v>
      </c>
      <c r="I51" s="102"/>
      <c r="J51" s="97"/>
      <c r="K51" s="97">
        <f t="shared" si="3"/>
        <v>0</v>
      </c>
      <c r="L51" s="76"/>
    </row>
    <row r="52" spans="1:12">
      <c r="A52" s="59" t="s">
        <v>508</v>
      </c>
      <c r="B52" s="102" t="s">
        <v>506</v>
      </c>
      <c r="C52" s="103"/>
      <c r="D52" s="103">
        <f t="shared" si="10"/>
        <v>-65.45</v>
      </c>
      <c r="E52" s="103">
        <v>0</v>
      </c>
      <c r="F52" s="103">
        <v>-65.45</v>
      </c>
      <c r="G52" s="70">
        <f t="shared" si="12"/>
        <v>-65.45</v>
      </c>
      <c r="H52" s="70" t="e">
        <f t="shared" si="13"/>
        <v>#DIV/0!</v>
      </c>
      <c r="I52" s="102"/>
      <c r="J52" s="97"/>
      <c r="K52" s="97">
        <f t="shared" si="3"/>
        <v>0</v>
      </c>
      <c r="L52" s="76"/>
    </row>
    <row r="53" spans="1:12">
      <c r="A53" s="59" t="s">
        <v>510</v>
      </c>
      <c r="B53" s="102" t="s">
        <v>507</v>
      </c>
      <c r="C53" s="103"/>
      <c r="D53" s="103">
        <f t="shared" si="10"/>
        <v>-0.1</v>
      </c>
      <c r="E53" s="103">
        <v>0</v>
      </c>
      <c r="F53" s="103">
        <v>-0.1</v>
      </c>
      <c r="G53" s="70">
        <f t="shared" si="12"/>
        <v>-0.1</v>
      </c>
      <c r="H53" s="70" t="e">
        <f t="shared" si="13"/>
        <v>#DIV/0!</v>
      </c>
      <c r="I53" s="102"/>
      <c r="J53" s="97"/>
      <c r="K53" s="97">
        <f t="shared" si="3"/>
        <v>0</v>
      </c>
      <c r="L53" s="76"/>
    </row>
    <row r="54" spans="1:12">
      <c r="A54" s="59" t="s">
        <v>524</v>
      </c>
      <c r="B54" s="108" t="s">
        <v>525</v>
      </c>
      <c r="C54" s="109"/>
      <c r="D54" s="109">
        <f t="shared" si="10"/>
        <v>-23.94</v>
      </c>
      <c r="E54" s="109">
        <v>0</v>
      </c>
      <c r="F54" s="109">
        <v>-23.94</v>
      </c>
      <c r="G54" s="70">
        <f t="shared" ref="G54" si="14">F54-E54</f>
        <v>-23.94</v>
      </c>
      <c r="H54" s="70" t="e">
        <f t="shared" ref="H54" si="15">F54/E54*100</f>
        <v>#DIV/0!</v>
      </c>
      <c r="I54" s="108"/>
      <c r="J54" s="97"/>
      <c r="K54" s="97"/>
      <c r="L54" s="76"/>
    </row>
    <row r="55" spans="1:12">
      <c r="A55" s="37" t="s">
        <v>223</v>
      </c>
      <c r="B55" s="36">
        <v>1060</v>
      </c>
      <c r="C55" s="67">
        <f>C56+C57+C58+C59+C60+C61+C62</f>
        <v>0</v>
      </c>
      <c r="D55" s="67">
        <f t="shared" ref="D55:F55" si="16">D56+D57+D58+D59+D60+D61+D62</f>
        <v>0</v>
      </c>
      <c r="E55" s="67">
        <f t="shared" si="16"/>
        <v>0</v>
      </c>
      <c r="F55" s="67">
        <f t="shared" si="16"/>
        <v>0</v>
      </c>
      <c r="G55" s="70" t="s">
        <v>54</v>
      </c>
      <c r="H55" s="70" t="s">
        <v>54</v>
      </c>
      <c r="I55" s="36" t="s">
        <v>91</v>
      </c>
      <c r="J55" s="67">
        <f t="shared" ref="J55" si="17">J56+J57+J58+J59+J60+J61+J62</f>
        <v>0</v>
      </c>
      <c r="K55" s="97">
        <f t="shared" si="3"/>
        <v>0</v>
      </c>
      <c r="L55" s="76">
        <f t="shared" si="4"/>
        <v>0</v>
      </c>
    </row>
    <row r="56" spans="1:12">
      <c r="A56" s="37" t="s">
        <v>224</v>
      </c>
      <c r="B56" s="36">
        <v>1061</v>
      </c>
      <c r="C56" s="68"/>
      <c r="D56" s="68"/>
      <c r="E56" s="68"/>
      <c r="F56" s="68"/>
      <c r="G56" s="70" t="s">
        <v>54</v>
      </c>
      <c r="H56" s="70" t="s">
        <v>54</v>
      </c>
      <c r="I56" s="36" t="s">
        <v>91</v>
      </c>
      <c r="J56" s="93"/>
      <c r="K56" s="97">
        <f t="shared" si="3"/>
        <v>0</v>
      </c>
      <c r="L56" s="76">
        <f t="shared" si="4"/>
        <v>0</v>
      </c>
    </row>
    <row r="57" spans="1:12">
      <c r="A57" s="37" t="s">
        <v>225</v>
      </c>
      <c r="B57" s="36">
        <v>1062</v>
      </c>
      <c r="C57" s="68"/>
      <c r="D57" s="68"/>
      <c r="E57" s="68"/>
      <c r="F57" s="68"/>
      <c r="G57" s="70" t="s">
        <v>54</v>
      </c>
      <c r="H57" s="70" t="s">
        <v>54</v>
      </c>
      <c r="I57" s="36" t="s">
        <v>91</v>
      </c>
      <c r="J57" s="93"/>
      <c r="K57" s="97">
        <f t="shared" si="3"/>
        <v>0</v>
      </c>
      <c r="L57" s="76">
        <f t="shared" si="4"/>
        <v>0</v>
      </c>
    </row>
    <row r="58" spans="1:12">
      <c r="A58" s="37" t="s">
        <v>208</v>
      </c>
      <c r="B58" s="36">
        <v>1063</v>
      </c>
      <c r="C58" s="68"/>
      <c r="D58" s="68"/>
      <c r="E58" s="68"/>
      <c r="F58" s="68"/>
      <c r="G58" s="70" t="s">
        <v>54</v>
      </c>
      <c r="H58" s="70" t="s">
        <v>54</v>
      </c>
      <c r="I58" s="36" t="s">
        <v>91</v>
      </c>
      <c r="J58" s="93"/>
      <c r="K58" s="97">
        <f t="shared" si="3"/>
        <v>0</v>
      </c>
      <c r="L58" s="76">
        <f t="shared" si="4"/>
        <v>0</v>
      </c>
    </row>
    <row r="59" spans="1:12">
      <c r="A59" s="37" t="s">
        <v>209</v>
      </c>
      <c r="B59" s="36">
        <v>1064</v>
      </c>
      <c r="C59" s="68"/>
      <c r="D59" s="68"/>
      <c r="E59" s="68"/>
      <c r="F59" s="68"/>
      <c r="G59" s="70" t="s">
        <v>54</v>
      </c>
      <c r="H59" s="70" t="s">
        <v>54</v>
      </c>
      <c r="I59" s="36" t="s">
        <v>91</v>
      </c>
      <c r="J59" s="93"/>
      <c r="K59" s="97">
        <f t="shared" si="3"/>
        <v>0</v>
      </c>
      <c r="L59" s="76">
        <f t="shared" si="4"/>
        <v>0</v>
      </c>
    </row>
    <row r="60" spans="1:12" ht="30">
      <c r="A60" s="37" t="s">
        <v>226</v>
      </c>
      <c r="B60" s="36">
        <v>1065</v>
      </c>
      <c r="C60" s="68"/>
      <c r="D60" s="68"/>
      <c r="E60" s="68"/>
      <c r="F60" s="68"/>
      <c r="G60" s="70" t="s">
        <v>54</v>
      </c>
      <c r="H60" s="70" t="s">
        <v>54</v>
      </c>
      <c r="I60" s="36" t="s">
        <v>91</v>
      </c>
      <c r="J60" s="93"/>
      <c r="K60" s="97">
        <f t="shared" si="3"/>
        <v>0</v>
      </c>
      <c r="L60" s="76">
        <f t="shared" si="4"/>
        <v>0</v>
      </c>
    </row>
    <row r="61" spans="1:12">
      <c r="A61" s="37" t="s">
        <v>227</v>
      </c>
      <c r="B61" s="36">
        <v>1066</v>
      </c>
      <c r="C61" s="68"/>
      <c r="D61" s="68"/>
      <c r="E61" s="68"/>
      <c r="F61" s="68"/>
      <c r="G61" s="70" t="s">
        <v>54</v>
      </c>
      <c r="H61" s="70" t="s">
        <v>54</v>
      </c>
      <c r="I61" s="36" t="s">
        <v>91</v>
      </c>
      <c r="J61" s="93"/>
      <c r="K61" s="97">
        <f t="shared" si="3"/>
        <v>0</v>
      </c>
      <c r="L61" s="76">
        <f t="shared" si="4"/>
        <v>0</v>
      </c>
    </row>
    <row r="62" spans="1:12" ht="30">
      <c r="A62" s="37" t="s">
        <v>228</v>
      </c>
      <c r="B62" s="36">
        <v>1067</v>
      </c>
      <c r="C62" s="68"/>
      <c r="D62" s="68"/>
      <c r="E62" s="68"/>
      <c r="F62" s="68"/>
      <c r="G62" s="70" t="s">
        <v>54</v>
      </c>
      <c r="H62" s="70" t="s">
        <v>54</v>
      </c>
      <c r="I62" s="36" t="s">
        <v>91</v>
      </c>
      <c r="J62" s="93"/>
      <c r="K62" s="97">
        <f t="shared" si="3"/>
        <v>0</v>
      </c>
      <c r="L62" s="76">
        <f t="shared" si="4"/>
        <v>0</v>
      </c>
    </row>
    <row r="63" spans="1:12" ht="30">
      <c r="A63" s="37" t="s">
        <v>230</v>
      </c>
      <c r="B63" s="36">
        <v>1070</v>
      </c>
      <c r="C63" s="67">
        <f>C64+C65+C66</f>
        <v>1.22</v>
      </c>
      <c r="D63" s="67">
        <f t="shared" ref="D63:F63" si="18">D64+D65+D66</f>
        <v>3.14</v>
      </c>
      <c r="E63" s="67">
        <f t="shared" si="18"/>
        <v>2.4</v>
      </c>
      <c r="F63" s="67">
        <f t="shared" si="18"/>
        <v>3.14</v>
      </c>
      <c r="G63" s="70">
        <f t="shared" si="1"/>
        <v>0.74000000000000021</v>
      </c>
      <c r="H63" s="70">
        <f t="shared" si="2"/>
        <v>130.83333333333334</v>
      </c>
      <c r="I63" s="36" t="s">
        <v>91</v>
      </c>
      <c r="J63" s="67">
        <f t="shared" ref="J63" si="19">J64+J65+J66</f>
        <v>2.4</v>
      </c>
      <c r="K63" s="97">
        <f t="shared" si="3"/>
        <v>1.7999999999999998</v>
      </c>
      <c r="L63" s="76">
        <f t="shared" si="4"/>
        <v>-0.60000000000000009</v>
      </c>
    </row>
    <row r="64" spans="1:12">
      <c r="A64" s="37" t="s">
        <v>66</v>
      </c>
      <c r="B64" s="36">
        <v>1071</v>
      </c>
      <c r="C64" s="68"/>
      <c r="D64" s="68"/>
      <c r="E64" s="68"/>
      <c r="F64" s="68"/>
      <c r="G64" s="70" t="s">
        <v>54</v>
      </c>
      <c r="H64" s="70" t="s">
        <v>54</v>
      </c>
      <c r="I64" s="36" t="s">
        <v>91</v>
      </c>
      <c r="J64" s="97"/>
      <c r="K64" s="97">
        <f t="shared" si="3"/>
        <v>0</v>
      </c>
      <c r="L64" s="76">
        <f t="shared" si="4"/>
        <v>0</v>
      </c>
    </row>
    <row r="65" spans="1:12" ht="30">
      <c r="A65" s="37" t="s">
        <v>231</v>
      </c>
      <c r="B65" s="36">
        <v>1072</v>
      </c>
      <c r="C65" s="68"/>
      <c r="D65" s="68"/>
      <c r="E65" s="68"/>
      <c r="F65" s="68"/>
      <c r="G65" s="70" t="s">
        <v>54</v>
      </c>
      <c r="H65" s="70" t="s">
        <v>54</v>
      </c>
      <c r="I65" s="36" t="s">
        <v>91</v>
      </c>
      <c r="J65" s="97"/>
      <c r="K65" s="97">
        <f t="shared" si="3"/>
        <v>0</v>
      </c>
      <c r="L65" s="76">
        <f t="shared" si="4"/>
        <v>0</v>
      </c>
    </row>
    <row r="66" spans="1:12" ht="30">
      <c r="A66" s="37" t="s">
        <v>471</v>
      </c>
      <c r="B66" s="36">
        <v>1073</v>
      </c>
      <c r="C66" s="68">
        <v>1.22</v>
      </c>
      <c r="D66" s="68">
        <f>F66</f>
        <v>3.14</v>
      </c>
      <c r="E66" s="68">
        <v>2.4</v>
      </c>
      <c r="F66" s="69">
        <v>3.14</v>
      </c>
      <c r="G66" s="70">
        <f t="shared" si="1"/>
        <v>0.74000000000000021</v>
      </c>
      <c r="H66" s="70">
        <f t="shared" si="2"/>
        <v>130.83333333333334</v>
      </c>
      <c r="I66" s="36" t="s">
        <v>503</v>
      </c>
      <c r="J66" s="97">
        <v>2.4</v>
      </c>
      <c r="K66" s="97">
        <f t="shared" si="3"/>
        <v>1.7999999999999998</v>
      </c>
      <c r="L66" s="76">
        <f t="shared" si="4"/>
        <v>-0.60000000000000009</v>
      </c>
    </row>
    <row r="67" spans="1:12" ht="30">
      <c r="A67" s="37" t="s">
        <v>232</v>
      </c>
      <c r="B67" s="36">
        <v>1080</v>
      </c>
      <c r="C67" s="67">
        <f>C68+C69+C70+C71+C72+C73</f>
        <v>0</v>
      </c>
      <c r="D67" s="67">
        <f t="shared" ref="D67:F67" si="20">D68+D69+D70+D71+D72+D73</f>
        <v>0</v>
      </c>
      <c r="E67" s="67">
        <f t="shared" si="20"/>
        <v>0</v>
      </c>
      <c r="F67" s="67">
        <f t="shared" si="20"/>
        <v>0</v>
      </c>
      <c r="G67" s="70" t="s">
        <v>54</v>
      </c>
      <c r="H67" s="70" t="s">
        <v>54</v>
      </c>
      <c r="I67" s="36" t="s">
        <v>91</v>
      </c>
      <c r="J67" s="67">
        <f t="shared" ref="J67" si="21">J68+J69+J70+J71+J72+J73</f>
        <v>0</v>
      </c>
      <c r="K67" s="97">
        <f t="shared" si="3"/>
        <v>0</v>
      </c>
      <c r="L67" s="76">
        <f t="shared" si="4"/>
        <v>0</v>
      </c>
    </row>
    <row r="68" spans="1:12">
      <c r="A68" s="37" t="s">
        <v>66</v>
      </c>
      <c r="B68" s="36">
        <v>1081</v>
      </c>
      <c r="C68" s="68"/>
      <c r="D68" s="68"/>
      <c r="E68" s="68"/>
      <c r="F68" s="68"/>
      <c r="G68" s="70" t="s">
        <v>54</v>
      </c>
      <c r="H68" s="70" t="s">
        <v>54</v>
      </c>
      <c r="I68" s="36" t="s">
        <v>91</v>
      </c>
      <c r="J68" s="97"/>
      <c r="K68" s="97">
        <f t="shared" si="3"/>
        <v>0</v>
      </c>
      <c r="L68" s="76">
        <f t="shared" si="4"/>
        <v>0</v>
      </c>
    </row>
    <row r="69" spans="1:12" ht="30">
      <c r="A69" s="37" t="s">
        <v>233</v>
      </c>
      <c r="B69" s="36">
        <v>1082</v>
      </c>
      <c r="C69" s="68"/>
      <c r="D69" s="68"/>
      <c r="E69" s="68"/>
      <c r="F69" s="68"/>
      <c r="G69" s="70" t="s">
        <v>54</v>
      </c>
      <c r="H69" s="70" t="s">
        <v>54</v>
      </c>
      <c r="I69" s="36" t="s">
        <v>91</v>
      </c>
      <c r="J69" s="97"/>
      <c r="K69" s="97">
        <f t="shared" si="3"/>
        <v>0</v>
      </c>
      <c r="L69" s="76">
        <f t="shared" si="4"/>
        <v>0</v>
      </c>
    </row>
    <row r="70" spans="1:12">
      <c r="A70" s="37" t="s">
        <v>234</v>
      </c>
      <c r="B70" s="36">
        <v>1083</v>
      </c>
      <c r="C70" s="68"/>
      <c r="D70" s="68"/>
      <c r="E70" s="68"/>
      <c r="F70" s="68"/>
      <c r="G70" s="70" t="s">
        <v>54</v>
      </c>
      <c r="H70" s="70" t="s">
        <v>54</v>
      </c>
      <c r="I70" s="36" t="s">
        <v>91</v>
      </c>
      <c r="J70" s="97"/>
      <c r="K70" s="97">
        <f t="shared" si="3"/>
        <v>0</v>
      </c>
      <c r="L70" s="76">
        <f t="shared" si="4"/>
        <v>0</v>
      </c>
    </row>
    <row r="71" spans="1:12" ht="30">
      <c r="A71" s="37" t="s">
        <v>235</v>
      </c>
      <c r="B71" s="36">
        <v>1084</v>
      </c>
      <c r="C71" s="68"/>
      <c r="D71" s="68"/>
      <c r="E71" s="68"/>
      <c r="F71" s="68"/>
      <c r="G71" s="70" t="s">
        <v>54</v>
      </c>
      <c r="H71" s="70" t="s">
        <v>54</v>
      </c>
      <c r="I71" s="36" t="s">
        <v>91</v>
      </c>
      <c r="J71" s="97"/>
      <c r="K71" s="97">
        <f t="shared" si="3"/>
        <v>0</v>
      </c>
      <c r="L71" s="76">
        <f t="shared" si="4"/>
        <v>0</v>
      </c>
    </row>
    <row r="72" spans="1:12" ht="30">
      <c r="A72" s="37" t="s">
        <v>236</v>
      </c>
      <c r="B72" s="36">
        <v>1085</v>
      </c>
      <c r="C72" s="68"/>
      <c r="D72" s="68"/>
      <c r="E72" s="68"/>
      <c r="F72" s="68"/>
      <c r="G72" s="70" t="s">
        <v>54</v>
      </c>
      <c r="H72" s="70" t="s">
        <v>54</v>
      </c>
      <c r="I72" s="36" t="s">
        <v>91</v>
      </c>
      <c r="J72" s="97"/>
      <c r="K72" s="97">
        <f t="shared" si="3"/>
        <v>0</v>
      </c>
      <c r="L72" s="76">
        <f t="shared" si="4"/>
        <v>0</v>
      </c>
    </row>
    <row r="73" spans="1:12" ht="30">
      <c r="A73" s="37" t="s">
        <v>237</v>
      </c>
      <c r="B73" s="36">
        <v>1086</v>
      </c>
      <c r="C73" s="68"/>
      <c r="D73" s="68"/>
      <c r="E73" s="68"/>
      <c r="F73" s="68"/>
      <c r="G73" s="70" t="s">
        <v>54</v>
      </c>
      <c r="H73" s="70" t="s">
        <v>54</v>
      </c>
      <c r="I73" s="36" t="s">
        <v>91</v>
      </c>
      <c r="J73" s="97"/>
      <c r="K73" s="97">
        <f t="shared" si="3"/>
        <v>0</v>
      </c>
      <c r="L73" s="76">
        <f t="shared" si="4"/>
        <v>0</v>
      </c>
    </row>
    <row r="74" spans="1:12" ht="75">
      <c r="A74" s="38" t="s">
        <v>70</v>
      </c>
      <c r="B74" s="39">
        <v>1100</v>
      </c>
      <c r="C74" s="66">
        <f t="shared" ref="C74:D74" si="22">C22+C23+C63</f>
        <v>1034.2800000000013</v>
      </c>
      <c r="D74" s="66">
        <f t="shared" si="22"/>
        <v>-644.80999999999892</v>
      </c>
      <c r="E74" s="66">
        <f>E22+E23+E63</f>
        <v>-1.4552803406786552E-12</v>
      </c>
      <c r="F74" s="66">
        <f>F22+F23+F63</f>
        <v>-644.80999999999892</v>
      </c>
      <c r="G74" s="70">
        <f t="shared" si="1"/>
        <v>-644.80999999999744</v>
      </c>
      <c r="H74" s="70" t="s">
        <v>54</v>
      </c>
      <c r="I74" s="98" t="s">
        <v>504</v>
      </c>
      <c r="J74" s="66">
        <f>J22+J23+J63</f>
        <v>-1.0000000001673559E-2</v>
      </c>
      <c r="K74" s="97">
        <f t="shared" si="3"/>
        <v>-7.5000000012551693E-3</v>
      </c>
      <c r="L74" s="76">
        <f t="shared" si="4"/>
        <v>-7.499999999799889E-3</v>
      </c>
    </row>
    <row r="75" spans="1:12" ht="30">
      <c r="A75" s="37" t="s">
        <v>238</v>
      </c>
      <c r="B75" s="36">
        <v>1110</v>
      </c>
      <c r="C75" s="68"/>
      <c r="D75" s="68"/>
      <c r="E75" s="68"/>
      <c r="F75" s="68"/>
      <c r="G75" s="70" t="s">
        <v>54</v>
      </c>
      <c r="H75" s="70" t="s">
        <v>54</v>
      </c>
      <c r="I75" s="36" t="s">
        <v>91</v>
      </c>
      <c r="J75" s="97"/>
      <c r="K75" s="97">
        <f t="shared" ref="K75:K112" si="23">J75/4*3</f>
        <v>0</v>
      </c>
      <c r="L75" s="76">
        <f t="shared" si="4"/>
        <v>0</v>
      </c>
    </row>
    <row r="76" spans="1:12" ht="30">
      <c r="A76" s="37" t="s">
        <v>239</v>
      </c>
      <c r="B76" s="36">
        <v>1120</v>
      </c>
      <c r="C76" s="68"/>
      <c r="D76" s="68"/>
      <c r="E76" s="68"/>
      <c r="F76" s="68"/>
      <c r="G76" s="70" t="s">
        <v>54</v>
      </c>
      <c r="H76" s="70" t="s">
        <v>54</v>
      </c>
      <c r="I76" s="36" t="s">
        <v>91</v>
      </c>
      <c r="J76" s="97"/>
      <c r="K76" s="97">
        <f t="shared" si="23"/>
        <v>0</v>
      </c>
      <c r="L76" s="76">
        <f t="shared" si="4"/>
        <v>0</v>
      </c>
    </row>
    <row r="77" spans="1:12" ht="30">
      <c r="A77" s="37" t="s">
        <v>240</v>
      </c>
      <c r="B77" s="36">
        <v>1130</v>
      </c>
      <c r="C77" s="68"/>
      <c r="D77" s="68"/>
      <c r="E77" s="68"/>
      <c r="F77" s="68"/>
      <c r="G77" s="70" t="s">
        <v>54</v>
      </c>
      <c r="H77" s="70" t="s">
        <v>54</v>
      </c>
      <c r="I77" s="36" t="s">
        <v>91</v>
      </c>
      <c r="J77" s="97"/>
      <c r="K77" s="97">
        <f t="shared" si="23"/>
        <v>0</v>
      </c>
      <c r="L77" s="76">
        <f t="shared" si="4"/>
        <v>0</v>
      </c>
    </row>
    <row r="78" spans="1:12">
      <c r="A78" s="37" t="s">
        <v>241</v>
      </c>
      <c r="B78" s="36">
        <v>1140</v>
      </c>
      <c r="C78" s="68"/>
      <c r="D78" s="68"/>
      <c r="E78" s="68"/>
      <c r="F78" s="68"/>
      <c r="G78" s="70" t="s">
        <v>54</v>
      </c>
      <c r="H78" s="70" t="s">
        <v>54</v>
      </c>
      <c r="I78" s="36" t="s">
        <v>91</v>
      </c>
      <c r="J78" s="97"/>
      <c r="K78" s="97">
        <f t="shared" si="23"/>
        <v>0</v>
      </c>
      <c r="L78" s="76">
        <f t="shared" ref="L78:L112" si="24">K78-E78</f>
        <v>0</v>
      </c>
    </row>
    <row r="79" spans="1:12">
      <c r="A79" s="37" t="s">
        <v>77</v>
      </c>
      <c r="B79" s="36">
        <v>1150</v>
      </c>
      <c r="C79" s="67">
        <f>C80+C81</f>
        <v>0</v>
      </c>
      <c r="D79" s="67">
        <f t="shared" ref="D79:F79" si="25">D80+D81</f>
        <v>0</v>
      </c>
      <c r="E79" s="67">
        <f t="shared" si="25"/>
        <v>0</v>
      </c>
      <c r="F79" s="67">
        <f t="shared" si="25"/>
        <v>0</v>
      </c>
      <c r="G79" s="70" t="s">
        <v>54</v>
      </c>
      <c r="H79" s="70" t="s">
        <v>54</v>
      </c>
      <c r="I79" s="36" t="s">
        <v>91</v>
      </c>
      <c r="J79" s="67">
        <f t="shared" ref="J79" si="26">J80+J81</f>
        <v>0</v>
      </c>
      <c r="K79" s="97">
        <f t="shared" si="23"/>
        <v>0</v>
      </c>
      <c r="L79" s="76">
        <f t="shared" si="24"/>
        <v>0</v>
      </c>
    </row>
    <row r="80" spans="1:12">
      <c r="A80" s="37" t="s">
        <v>66</v>
      </c>
      <c r="B80" s="36">
        <v>1151</v>
      </c>
      <c r="C80" s="68"/>
      <c r="D80" s="68"/>
      <c r="E80" s="68"/>
      <c r="F80" s="68"/>
      <c r="G80" s="70" t="s">
        <v>54</v>
      </c>
      <c r="H80" s="70" t="s">
        <v>54</v>
      </c>
      <c r="I80" s="36" t="s">
        <v>91</v>
      </c>
      <c r="J80" s="93"/>
      <c r="K80" s="97">
        <f t="shared" si="23"/>
        <v>0</v>
      </c>
      <c r="L80" s="76">
        <f t="shared" si="24"/>
        <v>0</v>
      </c>
    </row>
    <row r="81" spans="1:12">
      <c r="A81" s="37" t="s">
        <v>242</v>
      </c>
      <c r="B81" s="36">
        <v>1152</v>
      </c>
      <c r="C81" s="68"/>
      <c r="D81" s="68"/>
      <c r="E81" s="68"/>
      <c r="F81" s="68"/>
      <c r="G81" s="70" t="s">
        <v>54</v>
      </c>
      <c r="H81" s="70" t="s">
        <v>54</v>
      </c>
      <c r="I81" s="36" t="s">
        <v>91</v>
      </c>
      <c r="J81" s="93"/>
      <c r="K81" s="97">
        <f t="shared" si="23"/>
        <v>0</v>
      </c>
      <c r="L81" s="76">
        <f t="shared" si="24"/>
        <v>0</v>
      </c>
    </row>
    <row r="82" spans="1:12">
      <c r="A82" s="37" t="s">
        <v>78</v>
      </c>
      <c r="B82" s="36">
        <v>1160</v>
      </c>
      <c r="C82" s="67">
        <f>C83+C84</f>
        <v>0</v>
      </c>
      <c r="D82" s="67">
        <f t="shared" ref="D82:F82" si="27">D83+D84</f>
        <v>0</v>
      </c>
      <c r="E82" s="67">
        <f t="shared" si="27"/>
        <v>0</v>
      </c>
      <c r="F82" s="67">
        <f t="shared" si="27"/>
        <v>0</v>
      </c>
      <c r="G82" s="70" t="s">
        <v>54</v>
      </c>
      <c r="H82" s="70" t="s">
        <v>54</v>
      </c>
      <c r="I82" s="36" t="s">
        <v>91</v>
      </c>
      <c r="J82" s="67">
        <f t="shared" ref="J82" si="28">J83+J84</f>
        <v>0</v>
      </c>
      <c r="K82" s="97">
        <f t="shared" si="23"/>
        <v>0</v>
      </c>
      <c r="L82" s="76">
        <f t="shared" si="24"/>
        <v>0</v>
      </c>
    </row>
    <row r="83" spans="1:12">
      <c r="A83" s="37" t="s">
        <v>66</v>
      </c>
      <c r="B83" s="36">
        <v>1161</v>
      </c>
      <c r="C83" s="68"/>
      <c r="D83" s="68"/>
      <c r="E83" s="68"/>
      <c r="F83" s="68"/>
      <c r="G83" s="70" t="s">
        <v>54</v>
      </c>
      <c r="H83" s="70" t="s">
        <v>54</v>
      </c>
      <c r="I83" s="36" t="s">
        <v>91</v>
      </c>
      <c r="J83" s="93"/>
      <c r="K83" s="97">
        <f t="shared" si="23"/>
        <v>0</v>
      </c>
      <c r="L83" s="76">
        <f t="shared" si="24"/>
        <v>0</v>
      </c>
    </row>
    <row r="84" spans="1:12">
      <c r="A84" s="37" t="s">
        <v>243</v>
      </c>
      <c r="B84" s="36">
        <v>1162</v>
      </c>
      <c r="C84" s="68"/>
      <c r="D84" s="68"/>
      <c r="E84" s="68"/>
      <c r="F84" s="68"/>
      <c r="G84" s="70" t="s">
        <v>54</v>
      </c>
      <c r="H84" s="70" t="s">
        <v>54</v>
      </c>
      <c r="I84" s="36" t="s">
        <v>91</v>
      </c>
      <c r="J84" s="93"/>
      <c r="K84" s="97">
        <f t="shared" si="23"/>
        <v>0</v>
      </c>
      <c r="L84" s="76">
        <f t="shared" si="24"/>
        <v>0</v>
      </c>
    </row>
    <row r="85" spans="1:12" ht="75">
      <c r="A85" s="38" t="s">
        <v>79</v>
      </c>
      <c r="B85" s="39">
        <v>1170</v>
      </c>
      <c r="C85" s="66">
        <f t="shared" ref="C85:D85" si="29">C74</f>
        <v>1034.2800000000013</v>
      </c>
      <c r="D85" s="66">
        <f t="shared" si="29"/>
        <v>-644.80999999999892</v>
      </c>
      <c r="E85" s="66">
        <f>E74</f>
        <v>-1.4552803406786552E-12</v>
      </c>
      <c r="F85" s="66">
        <f>F74</f>
        <v>-644.80999999999892</v>
      </c>
      <c r="G85" s="70">
        <f t="shared" ref="G85:G94" si="30">F85-E85</f>
        <v>-644.80999999999744</v>
      </c>
      <c r="H85" s="70" t="s">
        <v>54</v>
      </c>
      <c r="I85" s="98" t="s">
        <v>504</v>
      </c>
      <c r="J85" s="66">
        <f>J74</f>
        <v>-1.0000000001673559E-2</v>
      </c>
      <c r="K85" s="97">
        <f t="shared" si="23"/>
        <v>-7.5000000012551693E-3</v>
      </c>
      <c r="L85" s="76">
        <f t="shared" si="24"/>
        <v>-7.499999999799889E-3</v>
      </c>
    </row>
    <row r="86" spans="1:12">
      <c r="A86" s="37" t="s">
        <v>80</v>
      </c>
      <c r="B86" s="36">
        <v>1180</v>
      </c>
      <c r="C86" s="68"/>
      <c r="D86" s="68"/>
      <c r="E86" s="68"/>
      <c r="F86" s="68"/>
      <c r="G86" s="70" t="s">
        <v>54</v>
      </c>
      <c r="H86" s="70" t="s">
        <v>54</v>
      </c>
      <c r="I86" s="36" t="s">
        <v>91</v>
      </c>
      <c r="J86" s="97"/>
      <c r="K86" s="97">
        <f t="shared" si="23"/>
        <v>0</v>
      </c>
      <c r="L86" s="76">
        <f t="shared" si="24"/>
        <v>0</v>
      </c>
    </row>
    <row r="87" spans="1:12">
      <c r="A87" s="37" t="s">
        <v>81</v>
      </c>
      <c r="B87" s="36">
        <v>1181</v>
      </c>
      <c r="C87" s="68"/>
      <c r="D87" s="68"/>
      <c r="E87" s="68"/>
      <c r="F87" s="68"/>
      <c r="G87" s="70" t="s">
        <v>54</v>
      </c>
      <c r="H87" s="70" t="s">
        <v>54</v>
      </c>
      <c r="I87" s="36" t="s">
        <v>91</v>
      </c>
      <c r="J87" s="97"/>
      <c r="K87" s="97">
        <f t="shared" si="23"/>
        <v>0</v>
      </c>
      <c r="L87" s="76">
        <f t="shared" si="24"/>
        <v>0</v>
      </c>
    </row>
    <row r="88" spans="1:12" ht="30">
      <c r="A88" s="37" t="s">
        <v>82</v>
      </c>
      <c r="B88" s="36">
        <v>1190</v>
      </c>
      <c r="C88" s="68"/>
      <c r="D88" s="68"/>
      <c r="E88" s="68"/>
      <c r="F88" s="68"/>
      <c r="G88" s="70" t="s">
        <v>54</v>
      </c>
      <c r="H88" s="70" t="s">
        <v>54</v>
      </c>
      <c r="I88" s="36" t="s">
        <v>91</v>
      </c>
      <c r="J88" s="97"/>
      <c r="K88" s="97">
        <f t="shared" si="23"/>
        <v>0</v>
      </c>
      <c r="L88" s="76">
        <f t="shared" si="24"/>
        <v>0</v>
      </c>
    </row>
    <row r="89" spans="1:12" ht="30">
      <c r="A89" s="37" t="s">
        <v>83</v>
      </c>
      <c r="B89" s="36">
        <v>1191</v>
      </c>
      <c r="C89" s="68"/>
      <c r="D89" s="68"/>
      <c r="E89" s="68"/>
      <c r="F89" s="68"/>
      <c r="G89" s="70" t="s">
        <v>54</v>
      </c>
      <c r="H89" s="70" t="s">
        <v>54</v>
      </c>
      <c r="I89" s="36" t="s">
        <v>91</v>
      </c>
      <c r="J89" s="97"/>
      <c r="K89" s="97">
        <f t="shared" si="23"/>
        <v>0</v>
      </c>
      <c r="L89" s="76">
        <f t="shared" si="24"/>
        <v>0</v>
      </c>
    </row>
    <row r="90" spans="1:12" ht="75">
      <c r="A90" s="38" t="s">
        <v>244</v>
      </c>
      <c r="B90" s="39">
        <v>1200</v>
      </c>
      <c r="C90" s="66">
        <f t="shared" ref="C90:D90" si="31">C85</f>
        <v>1034.2800000000013</v>
      </c>
      <c r="D90" s="66">
        <f t="shared" si="31"/>
        <v>-644.80999999999892</v>
      </c>
      <c r="E90" s="66">
        <f>E85</f>
        <v>-1.4552803406786552E-12</v>
      </c>
      <c r="F90" s="66">
        <f>F85</f>
        <v>-644.80999999999892</v>
      </c>
      <c r="G90" s="70">
        <f t="shared" si="30"/>
        <v>-644.80999999999744</v>
      </c>
      <c r="H90" s="70" t="s">
        <v>54</v>
      </c>
      <c r="I90" s="98" t="s">
        <v>504</v>
      </c>
      <c r="J90" s="66">
        <f>J85</f>
        <v>-1.0000000001673559E-2</v>
      </c>
      <c r="K90" s="97">
        <f t="shared" si="23"/>
        <v>-7.5000000012551693E-3</v>
      </c>
      <c r="L90" s="76">
        <f t="shared" si="24"/>
        <v>-7.499999999799889E-3</v>
      </c>
    </row>
    <row r="91" spans="1:12">
      <c r="A91" s="37" t="s">
        <v>245</v>
      </c>
      <c r="B91" s="36">
        <v>1201</v>
      </c>
      <c r="C91" s="68">
        <v>1034.28</v>
      </c>
      <c r="D91" s="68">
        <f>F91</f>
        <v>0</v>
      </c>
      <c r="E91" s="68"/>
      <c r="F91" s="68">
        <v>0</v>
      </c>
      <c r="G91" s="70">
        <f t="shared" si="30"/>
        <v>0</v>
      </c>
      <c r="H91" s="70" t="s">
        <v>54</v>
      </c>
      <c r="I91" s="36" t="s">
        <v>91</v>
      </c>
      <c r="J91" s="93"/>
      <c r="K91" s="97">
        <f t="shared" si="23"/>
        <v>0</v>
      </c>
      <c r="L91" s="76">
        <f t="shared" si="24"/>
        <v>0</v>
      </c>
    </row>
    <row r="92" spans="1:12">
      <c r="A92" s="37" t="s">
        <v>246</v>
      </c>
      <c r="B92" s="36">
        <v>1202</v>
      </c>
      <c r="C92" s="68"/>
      <c r="D92" s="112">
        <f>F92</f>
        <v>644.80999999999995</v>
      </c>
      <c r="E92" s="68"/>
      <c r="F92" s="68">
        <v>644.80999999999995</v>
      </c>
      <c r="G92" s="70" t="s">
        <v>54</v>
      </c>
      <c r="H92" s="70" t="s">
        <v>54</v>
      </c>
      <c r="I92" s="36" t="s">
        <v>91</v>
      </c>
      <c r="J92" s="93"/>
      <c r="K92" s="97">
        <f t="shared" si="23"/>
        <v>0</v>
      </c>
      <c r="L92" s="76">
        <f t="shared" si="24"/>
        <v>0</v>
      </c>
    </row>
    <row r="93" spans="1:12">
      <c r="A93" s="38" t="s">
        <v>87</v>
      </c>
      <c r="B93" s="39">
        <v>1210</v>
      </c>
      <c r="C93" s="71">
        <f t="shared" ref="C93:E93" si="32">C9+C63</f>
        <v>8401.51</v>
      </c>
      <c r="D93" s="71">
        <f t="shared" si="32"/>
        <v>15243.31</v>
      </c>
      <c r="E93" s="71">
        <f t="shared" si="32"/>
        <v>18393.41</v>
      </c>
      <c r="F93" s="71">
        <f>F9+F63</f>
        <v>15243.31</v>
      </c>
      <c r="G93" s="70">
        <f t="shared" si="30"/>
        <v>-3150.1000000000004</v>
      </c>
      <c r="H93" s="70">
        <f t="shared" ref="H93:H94" si="33">F93/E93*100</f>
        <v>82.87375750336669</v>
      </c>
      <c r="I93" s="36" t="s">
        <v>91</v>
      </c>
      <c r="J93" s="71">
        <f t="shared" ref="J93" si="34">J9+J63</f>
        <v>18393.41</v>
      </c>
      <c r="K93" s="97">
        <f t="shared" si="23"/>
        <v>13795.057499999999</v>
      </c>
      <c r="L93" s="76">
        <f t="shared" si="24"/>
        <v>-4598.3525000000009</v>
      </c>
    </row>
    <row r="94" spans="1:12">
      <c r="A94" s="38" t="s">
        <v>88</v>
      </c>
      <c r="B94" s="39">
        <v>1220</v>
      </c>
      <c r="C94" s="71">
        <f t="shared" ref="C94:E94" si="35">(C10+C23)</f>
        <v>-7367.23</v>
      </c>
      <c r="D94" s="71">
        <f t="shared" si="35"/>
        <v>-15888.119999999999</v>
      </c>
      <c r="E94" s="71">
        <f t="shared" si="35"/>
        <v>-18393.41</v>
      </c>
      <c r="F94" s="71">
        <f>(F10+F23)</f>
        <v>-15888.119999999999</v>
      </c>
      <c r="G94" s="70">
        <f t="shared" si="30"/>
        <v>2505.2900000000009</v>
      </c>
      <c r="H94" s="70">
        <f t="shared" si="33"/>
        <v>86.379415236217753</v>
      </c>
      <c r="I94" s="36" t="s">
        <v>91</v>
      </c>
      <c r="J94" s="71">
        <f t="shared" ref="J94" si="36">(J10+J23)</f>
        <v>-18393.419999999998</v>
      </c>
      <c r="K94" s="97">
        <f t="shared" si="23"/>
        <v>-13795.064999999999</v>
      </c>
      <c r="L94" s="76">
        <f t="shared" si="24"/>
        <v>4598.3450000000012</v>
      </c>
    </row>
    <row r="95" spans="1:12">
      <c r="A95" s="37" t="s">
        <v>89</v>
      </c>
      <c r="B95" s="36">
        <v>1230</v>
      </c>
      <c r="C95" s="68" t="s">
        <v>91</v>
      </c>
      <c r="D95" s="68" t="s">
        <v>91</v>
      </c>
      <c r="E95" s="68" t="s">
        <v>91</v>
      </c>
      <c r="F95" s="68" t="s">
        <v>91</v>
      </c>
      <c r="G95" s="70" t="s">
        <v>54</v>
      </c>
      <c r="H95" s="70" t="s">
        <v>54</v>
      </c>
      <c r="I95" s="36" t="s">
        <v>91</v>
      </c>
      <c r="J95" s="97"/>
      <c r="K95" s="97">
        <f t="shared" si="23"/>
        <v>0</v>
      </c>
      <c r="L95" s="76" t="e">
        <f t="shared" si="24"/>
        <v>#VALUE!</v>
      </c>
    </row>
    <row r="96" spans="1:12">
      <c r="A96" s="130" t="s">
        <v>247</v>
      </c>
      <c r="B96" s="130"/>
      <c r="C96" s="130"/>
      <c r="D96" s="130"/>
      <c r="E96" s="130"/>
      <c r="F96" s="130"/>
      <c r="G96" s="130"/>
      <c r="H96" s="130"/>
      <c r="I96" s="130"/>
      <c r="J96" s="97"/>
      <c r="K96" s="97">
        <f t="shared" si="23"/>
        <v>0</v>
      </c>
      <c r="L96" s="76">
        <f t="shared" si="24"/>
        <v>0</v>
      </c>
    </row>
    <row r="97" spans="1:13" ht="30">
      <c r="A97" s="37" t="s">
        <v>248</v>
      </c>
      <c r="B97" s="36">
        <v>1300</v>
      </c>
      <c r="C97" s="67">
        <f t="shared" ref="C97:D97" si="37">C74</f>
        <v>1034.2800000000013</v>
      </c>
      <c r="D97" s="67">
        <f t="shared" si="37"/>
        <v>-644.80999999999892</v>
      </c>
      <c r="E97" s="67">
        <f>E85</f>
        <v>-1.4552803406786552E-12</v>
      </c>
      <c r="F97" s="67">
        <f>F74</f>
        <v>-644.80999999999892</v>
      </c>
      <c r="G97" s="70">
        <f t="shared" ref="G97:G103" si="38">F97-E97</f>
        <v>-644.80999999999744</v>
      </c>
      <c r="H97" s="70" t="s">
        <v>54</v>
      </c>
      <c r="I97" s="36" t="s">
        <v>91</v>
      </c>
      <c r="J97" s="67">
        <f>J85</f>
        <v>-1.0000000001673559E-2</v>
      </c>
      <c r="K97" s="97">
        <f t="shared" si="23"/>
        <v>-7.5000000012551693E-3</v>
      </c>
      <c r="L97" s="76">
        <f t="shared" si="24"/>
        <v>-7.499999999799889E-3</v>
      </c>
    </row>
    <row r="98" spans="1:13">
      <c r="A98" s="37" t="s">
        <v>249</v>
      </c>
      <c r="B98" s="36">
        <v>1301</v>
      </c>
      <c r="C98" s="67">
        <f t="shared" ref="C98:E98" si="39">C110</f>
        <v>452.88</v>
      </c>
      <c r="D98" s="67">
        <f t="shared" si="39"/>
        <v>448</v>
      </c>
      <c r="E98" s="67">
        <f t="shared" si="39"/>
        <v>30.48</v>
      </c>
      <c r="F98" s="67">
        <f>F110</f>
        <v>448</v>
      </c>
      <c r="G98" s="70">
        <f t="shared" si="38"/>
        <v>417.52</v>
      </c>
      <c r="H98" s="70">
        <f t="shared" ref="H98:H103" si="40">F98/E98*100</f>
        <v>1469.8162729658793</v>
      </c>
      <c r="I98" s="36" t="s">
        <v>91</v>
      </c>
      <c r="J98" s="67">
        <f t="shared" ref="J98" si="41">J110</f>
        <v>30.48</v>
      </c>
      <c r="K98" s="97">
        <f t="shared" si="23"/>
        <v>22.86</v>
      </c>
      <c r="L98" s="76">
        <f t="shared" si="24"/>
        <v>-7.620000000000001</v>
      </c>
    </row>
    <row r="99" spans="1:13" ht="30">
      <c r="A99" s="37" t="s">
        <v>250</v>
      </c>
      <c r="B99" s="36">
        <v>1302</v>
      </c>
      <c r="C99" s="67"/>
      <c r="D99" s="67"/>
      <c r="E99" s="67"/>
      <c r="F99" s="67"/>
      <c r="G99" s="70" t="s">
        <v>54</v>
      </c>
      <c r="H99" s="70" t="s">
        <v>54</v>
      </c>
      <c r="I99" s="36" t="s">
        <v>91</v>
      </c>
      <c r="J99" s="97"/>
      <c r="K99" s="97">
        <f t="shared" si="23"/>
        <v>0</v>
      </c>
      <c r="L99" s="76">
        <f t="shared" si="24"/>
        <v>0</v>
      </c>
    </row>
    <row r="100" spans="1:13" ht="30">
      <c r="A100" s="37" t="s">
        <v>251</v>
      </c>
      <c r="B100" s="36">
        <v>1303</v>
      </c>
      <c r="C100" s="67"/>
      <c r="D100" s="67"/>
      <c r="E100" s="67"/>
      <c r="F100" s="67"/>
      <c r="G100" s="70" t="s">
        <v>54</v>
      </c>
      <c r="H100" s="70" t="s">
        <v>54</v>
      </c>
      <c r="I100" s="36" t="s">
        <v>91</v>
      </c>
      <c r="J100" s="97"/>
      <c r="K100" s="97">
        <f t="shared" si="23"/>
        <v>0</v>
      </c>
      <c r="L100" s="76">
        <f t="shared" si="24"/>
        <v>0</v>
      </c>
    </row>
    <row r="101" spans="1:13" ht="30">
      <c r="A101" s="37" t="s">
        <v>252</v>
      </c>
      <c r="B101" s="36">
        <v>1304</v>
      </c>
      <c r="C101" s="67"/>
      <c r="D101" s="67"/>
      <c r="E101" s="67"/>
      <c r="F101" s="67"/>
      <c r="G101" s="70" t="s">
        <v>54</v>
      </c>
      <c r="H101" s="70" t="s">
        <v>54</v>
      </c>
      <c r="I101" s="36" t="s">
        <v>91</v>
      </c>
      <c r="J101" s="97"/>
      <c r="K101" s="97">
        <f t="shared" si="23"/>
        <v>0</v>
      </c>
      <c r="L101" s="76">
        <f t="shared" si="24"/>
        <v>0</v>
      </c>
    </row>
    <row r="102" spans="1:13" ht="30">
      <c r="A102" s="37" t="s">
        <v>253</v>
      </c>
      <c r="B102" s="36">
        <v>1305</v>
      </c>
      <c r="C102" s="67"/>
      <c r="D102" s="67"/>
      <c r="E102" s="67"/>
      <c r="F102" s="67"/>
      <c r="G102" s="70" t="s">
        <v>54</v>
      </c>
      <c r="H102" s="70" t="s">
        <v>54</v>
      </c>
      <c r="I102" s="36" t="s">
        <v>91</v>
      </c>
      <c r="J102" s="97"/>
      <c r="K102" s="97">
        <f t="shared" si="23"/>
        <v>0</v>
      </c>
      <c r="L102" s="76">
        <f t="shared" si="24"/>
        <v>0</v>
      </c>
    </row>
    <row r="103" spans="1:13">
      <c r="A103" s="38" t="s">
        <v>71</v>
      </c>
      <c r="B103" s="39">
        <v>1310</v>
      </c>
      <c r="C103" s="72">
        <f t="shared" ref="C103:E103" si="42">C97+C98-C99+C100-C101+C102</f>
        <v>1487.1600000000012</v>
      </c>
      <c r="D103" s="72">
        <f t="shared" si="42"/>
        <v>-196.80999999999892</v>
      </c>
      <c r="E103" s="72">
        <f t="shared" si="42"/>
        <v>30.479999999998544</v>
      </c>
      <c r="F103" s="72">
        <f>F97+F98-F99+F100-F101+F102</f>
        <v>-196.80999999999892</v>
      </c>
      <c r="G103" s="70">
        <f t="shared" si="38"/>
        <v>-227.28999999999746</v>
      </c>
      <c r="H103" s="70">
        <f t="shared" si="40"/>
        <v>-645.70209973756016</v>
      </c>
      <c r="I103" s="36" t="s">
        <v>91</v>
      </c>
      <c r="J103" s="72">
        <f t="shared" ref="J103" si="43">J97+J98-J99+J100-J101+J102</f>
        <v>30.469999999998326</v>
      </c>
      <c r="K103" s="97">
        <f t="shared" si="23"/>
        <v>22.852499999998745</v>
      </c>
      <c r="L103" s="76">
        <f t="shared" si="24"/>
        <v>-7.6274999999997988</v>
      </c>
    </row>
    <row r="104" spans="1:13">
      <c r="A104" s="130" t="s">
        <v>90</v>
      </c>
      <c r="B104" s="130"/>
      <c r="C104" s="130"/>
      <c r="D104" s="130"/>
      <c r="E104" s="130"/>
      <c r="F104" s="130"/>
      <c r="G104" s="130"/>
      <c r="H104" s="130"/>
      <c r="I104" s="130"/>
      <c r="J104" s="97"/>
      <c r="K104" s="97">
        <f t="shared" si="23"/>
        <v>0</v>
      </c>
      <c r="L104" s="76">
        <f t="shared" si="24"/>
        <v>0</v>
      </c>
    </row>
    <row r="105" spans="1:13">
      <c r="A105" s="37" t="s">
        <v>92</v>
      </c>
      <c r="B105" s="36">
        <v>1400</v>
      </c>
      <c r="C105" s="68">
        <v>1477.69</v>
      </c>
      <c r="D105" s="68">
        <f>F105</f>
        <v>3495.46</v>
      </c>
      <c r="E105" s="68">
        <v>4208.37</v>
      </c>
      <c r="F105" s="68">
        <v>3495.46</v>
      </c>
      <c r="G105" s="70">
        <f t="shared" ref="G105:G112" si="44">F105-E105</f>
        <v>-712.90999999999985</v>
      </c>
      <c r="H105" s="70">
        <f t="shared" ref="H105:H112" si="45">F105/E105*100</f>
        <v>83.059711954984948</v>
      </c>
      <c r="I105" s="36"/>
      <c r="J105" s="93">
        <v>4208.38</v>
      </c>
      <c r="K105" s="97">
        <f t="shared" si="23"/>
        <v>3156.2849999999999</v>
      </c>
      <c r="L105" s="76">
        <f t="shared" si="24"/>
        <v>-1052.085</v>
      </c>
    </row>
    <row r="106" spans="1:13" ht="30">
      <c r="A106" s="37" t="s">
        <v>93</v>
      </c>
      <c r="B106" s="36">
        <v>1401</v>
      </c>
      <c r="C106" s="68">
        <v>493.46</v>
      </c>
      <c r="D106" s="68">
        <f>F106</f>
        <v>1235.58</v>
      </c>
      <c r="E106" s="68">
        <v>1492.7</v>
      </c>
      <c r="F106" s="69">
        <v>1235.58</v>
      </c>
      <c r="G106" s="70">
        <f t="shared" si="44"/>
        <v>-257.12000000000012</v>
      </c>
      <c r="H106" s="70">
        <f t="shared" si="45"/>
        <v>82.774837542707829</v>
      </c>
      <c r="I106" s="36"/>
      <c r="J106" s="93">
        <v>1492.71</v>
      </c>
      <c r="K106" s="97">
        <f t="shared" si="23"/>
        <v>1119.5325</v>
      </c>
      <c r="L106" s="76">
        <f t="shared" si="24"/>
        <v>-373.16750000000002</v>
      </c>
    </row>
    <row r="107" spans="1:13">
      <c r="A107" s="37" t="s">
        <v>94</v>
      </c>
      <c r="B107" s="36">
        <v>1402</v>
      </c>
      <c r="C107" s="68">
        <f t="shared" ref="C107:D107" si="46">(C12+C13)*(-1)</f>
        <v>617.74</v>
      </c>
      <c r="D107" s="68">
        <f t="shared" si="46"/>
        <v>1455.5</v>
      </c>
      <c r="E107" s="92">
        <f>(E12+E13)*(-1)</f>
        <v>2115.67</v>
      </c>
      <c r="F107" s="68">
        <f>(F12+F13)*(-1)</f>
        <v>1455.5</v>
      </c>
      <c r="G107" s="70">
        <f t="shared" si="44"/>
        <v>-660.17000000000007</v>
      </c>
      <c r="H107" s="70">
        <f t="shared" si="45"/>
        <v>68.796173316254425</v>
      </c>
      <c r="I107" s="36"/>
      <c r="J107" s="93">
        <f>(J12+J13)*(-1)</f>
        <v>2115.67</v>
      </c>
      <c r="K107" s="97">
        <f t="shared" si="23"/>
        <v>1586.7525000000001</v>
      </c>
      <c r="L107" s="76">
        <f t="shared" si="24"/>
        <v>-528.91750000000002</v>
      </c>
      <c r="M107" s="3">
        <f>868.59+304.7</f>
        <v>1173.29</v>
      </c>
    </row>
    <row r="108" spans="1:13">
      <c r="A108" s="37" t="s">
        <v>95</v>
      </c>
      <c r="B108" s="36">
        <v>1410</v>
      </c>
      <c r="C108" s="68">
        <f t="shared" ref="C108:D108" si="47">(C14+C31)*(-1)</f>
        <v>4167.7700000000004</v>
      </c>
      <c r="D108" s="68">
        <f t="shared" si="47"/>
        <v>9191.5499999999993</v>
      </c>
      <c r="E108" s="92">
        <f>(E14+E31)*(-1)</f>
        <v>11130.779999999999</v>
      </c>
      <c r="F108" s="68">
        <f>(F14+F31)*(-1)</f>
        <v>9191.5499999999993</v>
      </c>
      <c r="G108" s="70">
        <f t="shared" si="44"/>
        <v>-1939.2299999999996</v>
      </c>
      <c r="H108" s="70">
        <f t="shared" si="45"/>
        <v>82.577770830076602</v>
      </c>
      <c r="I108" s="36"/>
      <c r="J108" s="93">
        <f>(J14+J31)*(-1)</f>
        <v>11130.779999999999</v>
      </c>
      <c r="K108" s="97">
        <f t="shared" si="23"/>
        <v>8348.0849999999991</v>
      </c>
      <c r="L108" s="76">
        <f t="shared" si="24"/>
        <v>-2782.6949999999997</v>
      </c>
      <c r="M108" s="3">
        <f>2782.69+2782.69</f>
        <v>5565.38</v>
      </c>
    </row>
    <row r="109" spans="1:13">
      <c r="A109" s="37" t="s">
        <v>96</v>
      </c>
      <c r="B109" s="36">
        <v>1420</v>
      </c>
      <c r="C109" s="68">
        <f t="shared" ref="C109:D109" si="48">(C15+C32)*(-1)</f>
        <v>952.99</v>
      </c>
      <c r="D109" s="68">
        <f t="shared" si="48"/>
        <v>2061.38</v>
      </c>
      <c r="E109" s="92">
        <f>(E15+E32)*(-1)</f>
        <v>2448.77</v>
      </c>
      <c r="F109" s="68">
        <f>(F15+F32)*(-1)</f>
        <v>2061.38</v>
      </c>
      <c r="G109" s="70">
        <f t="shared" si="44"/>
        <v>-387.38999999999987</v>
      </c>
      <c r="H109" s="70">
        <f t="shared" si="45"/>
        <v>84.180221090588333</v>
      </c>
      <c r="I109" s="36"/>
      <c r="J109" s="93">
        <f>(J15+J32)*(-1)</f>
        <v>2448.77</v>
      </c>
      <c r="K109" s="97">
        <f t="shared" si="23"/>
        <v>1836.5774999999999</v>
      </c>
      <c r="L109" s="76">
        <f t="shared" si="24"/>
        <v>-612.19250000000011</v>
      </c>
      <c r="M109" s="3">
        <f>612.19+612.19</f>
        <v>1224.3800000000001</v>
      </c>
    </row>
    <row r="110" spans="1:13">
      <c r="A110" s="37" t="s">
        <v>97</v>
      </c>
      <c r="B110" s="36">
        <v>1430</v>
      </c>
      <c r="C110" s="68">
        <f t="shared" ref="C110:D110" si="49">C17*(-1)</f>
        <v>452.88</v>
      </c>
      <c r="D110" s="68">
        <f t="shared" si="49"/>
        <v>448</v>
      </c>
      <c r="E110" s="92">
        <f>E17*(-1)</f>
        <v>30.48</v>
      </c>
      <c r="F110" s="68">
        <f>F17*(-1)</f>
        <v>448</v>
      </c>
      <c r="G110" s="70">
        <f t="shared" si="44"/>
        <v>417.52</v>
      </c>
      <c r="H110" s="70">
        <f t="shared" si="45"/>
        <v>1469.8162729658793</v>
      </c>
      <c r="I110" s="36"/>
      <c r="J110" s="93">
        <f>J17*(-1)</f>
        <v>30.48</v>
      </c>
      <c r="K110" s="97">
        <f t="shared" si="23"/>
        <v>22.86</v>
      </c>
      <c r="L110" s="76">
        <f t="shared" si="24"/>
        <v>-7.620000000000001</v>
      </c>
    </row>
    <row r="111" spans="1:13">
      <c r="A111" s="37" t="s">
        <v>98</v>
      </c>
      <c r="B111" s="36">
        <v>1440</v>
      </c>
      <c r="C111" s="68">
        <v>315.89999999999998</v>
      </c>
      <c r="D111" s="68">
        <f>F111</f>
        <v>691.73</v>
      </c>
      <c r="E111" s="68">
        <v>575.01</v>
      </c>
      <c r="F111" s="68">
        <v>691.73</v>
      </c>
      <c r="G111" s="70">
        <f t="shared" si="44"/>
        <v>116.72000000000003</v>
      </c>
      <c r="H111" s="70">
        <f t="shared" si="45"/>
        <v>120.29877741256674</v>
      </c>
      <c r="I111" s="36"/>
      <c r="J111" s="93">
        <v>575.01</v>
      </c>
      <c r="K111" s="97">
        <f t="shared" si="23"/>
        <v>431.25749999999999</v>
      </c>
      <c r="L111" s="76">
        <f t="shared" si="24"/>
        <v>-143.7525</v>
      </c>
    </row>
    <row r="112" spans="1:13">
      <c r="A112" s="38" t="s">
        <v>99</v>
      </c>
      <c r="B112" s="39">
        <v>1450</v>
      </c>
      <c r="C112" s="73">
        <f t="shared" ref="C112:E112" si="50">C105+C108+C109+C110+C111</f>
        <v>7367.2300000000005</v>
      </c>
      <c r="D112" s="73">
        <f t="shared" si="50"/>
        <v>15888.119999999999</v>
      </c>
      <c r="E112" s="73">
        <f t="shared" si="50"/>
        <v>18393.409999999996</v>
      </c>
      <c r="F112" s="73">
        <f>F105+F108+F109+F110+F111</f>
        <v>15888.119999999999</v>
      </c>
      <c r="G112" s="70">
        <f t="shared" si="44"/>
        <v>-2505.2899999999972</v>
      </c>
      <c r="H112" s="70">
        <f t="shared" si="45"/>
        <v>86.379415236217767</v>
      </c>
      <c r="I112" s="36"/>
      <c r="J112" s="73">
        <f t="shared" ref="J112" si="51">J105+J108+J109+J110+J111</f>
        <v>18393.419999999998</v>
      </c>
      <c r="K112" s="97">
        <f t="shared" si="23"/>
        <v>13795.064999999999</v>
      </c>
      <c r="L112" s="76">
        <f t="shared" si="24"/>
        <v>-4598.3449999999975</v>
      </c>
      <c r="M112" s="3">
        <f>4924.13+4369.19</f>
        <v>9293.32</v>
      </c>
    </row>
    <row r="114" spans="1:8" s="4" customFormat="1" ht="18.75">
      <c r="A114" s="5" t="s">
        <v>193</v>
      </c>
      <c r="C114" s="74"/>
      <c r="D114" s="74"/>
      <c r="E114" s="74"/>
      <c r="F114" s="64"/>
      <c r="G114" s="131" t="s">
        <v>197</v>
      </c>
      <c r="H114" s="131"/>
    </row>
    <row r="115" spans="1:8" s="6" customFormat="1" ht="15" customHeight="1">
      <c r="A115" s="7" t="s">
        <v>194</v>
      </c>
      <c r="B115" s="7"/>
      <c r="C115" s="75"/>
      <c r="D115" s="75" t="s">
        <v>195</v>
      </c>
      <c r="E115" s="75"/>
      <c r="F115" s="75"/>
      <c r="G115" s="132" t="s">
        <v>196</v>
      </c>
      <c r="H115" s="132"/>
    </row>
  </sheetData>
  <sheetProtection password="CE28" sheet="1" objects="1" scenarios="1"/>
  <mergeCells count="12">
    <mergeCell ref="A104:I104"/>
    <mergeCell ref="A3:I3"/>
    <mergeCell ref="G114:H114"/>
    <mergeCell ref="G115:H115"/>
    <mergeCell ref="A5:A6"/>
    <mergeCell ref="B5:B6"/>
    <mergeCell ref="C5:D5"/>
    <mergeCell ref="E5:I5"/>
    <mergeCell ref="A8:I8"/>
    <mergeCell ref="A96:I96"/>
    <mergeCell ref="I14:I15"/>
    <mergeCell ref="I31:I32"/>
  </mergeCells>
  <pageMargins left="0.31496062992125984" right="0.31496062992125984" top="0.94488188976377951" bottom="0.55118110236220474" header="0.31496062992125984" footer="0.31496062992125984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48"/>
  <sheetViews>
    <sheetView view="pageBreakPreview" topLeftCell="A25" zoomScaleSheetLayoutView="100" workbookViewId="0">
      <selection activeCell="F34" sqref="F34"/>
    </sheetView>
  </sheetViews>
  <sheetFormatPr defaultRowHeight="15"/>
  <cols>
    <col min="1" max="1" width="50.42578125" style="3" customWidth="1"/>
    <col min="2" max="2" width="6.42578125" style="3" customWidth="1"/>
    <col min="3" max="5" width="13.42578125" style="3" customWidth="1"/>
    <col min="6" max="6" width="12.85546875" style="3" customWidth="1"/>
    <col min="7" max="8" width="14.28515625" style="3" customWidth="1"/>
    <col min="9" max="10" width="14.5703125" style="3" hidden="1" customWidth="1"/>
    <col min="11" max="11" width="9.140625" style="3" hidden="1" customWidth="1"/>
    <col min="12" max="12" width="0" style="3" hidden="1" customWidth="1"/>
    <col min="13" max="16384" width="9.140625" style="3"/>
  </cols>
  <sheetData>
    <row r="1" spans="1:11" ht="18.75">
      <c r="H1" s="4" t="s">
        <v>267</v>
      </c>
    </row>
    <row r="2" spans="1:11" ht="18.75">
      <c r="A2" s="117" t="s">
        <v>100</v>
      </c>
      <c r="B2" s="117"/>
      <c r="C2" s="117"/>
      <c r="D2" s="117"/>
      <c r="E2" s="117"/>
      <c r="F2" s="117"/>
      <c r="G2" s="117"/>
      <c r="H2" s="117"/>
    </row>
    <row r="4" spans="1:11" ht="38.25" customHeight="1">
      <c r="A4" s="133" t="s">
        <v>42</v>
      </c>
      <c r="B4" s="133" t="s">
        <v>43</v>
      </c>
      <c r="C4" s="133" t="s">
        <v>44</v>
      </c>
      <c r="D4" s="133"/>
      <c r="E4" s="133" t="s">
        <v>45</v>
      </c>
      <c r="F4" s="133"/>
      <c r="G4" s="133"/>
      <c r="H4" s="133"/>
      <c r="I4" s="97" t="s">
        <v>495</v>
      </c>
      <c r="J4" s="97" t="s">
        <v>521</v>
      </c>
    </row>
    <row r="5" spans="1:11">
      <c r="A5" s="133"/>
      <c r="B5" s="133"/>
      <c r="C5" s="36" t="s">
        <v>46</v>
      </c>
      <c r="D5" s="36" t="s">
        <v>47</v>
      </c>
      <c r="E5" s="36" t="s">
        <v>48</v>
      </c>
      <c r="F5" s="36" t="s">
        <v>49</v>
      </c>
      <c r="G5" s="36" t="s">
        <v>50</v>
      </c>
      <c r="H5" s="36" t="s">
        <v>51</v>
      </c>
      <c r="I5" s="97"/>
      <c r="J5" s="97"/>
    </row>
    <row r="6" spans="1:11">
      <c r="A6" s="36">
        <v>1</v>
      </c>
      <c r="B6" s="36">
        <v>2</v>
      </c>
      <c r="C6" s="36">
        <v>3</v>
      </c>
      <c r="D6" s="36">
        <v>4</v>
      </c>
      <c r="E6" s="36">
        <v>5</v>
      </c>
      <c r="F6" s="36">
        <v>6</v>
      </c>
      <c r="G6" s="36">
        <v>7</v>
      </c>
      <c r="H6" s="36">
        <v>8</v>
      </c>
      <c r="I6" s="97"/>
      <c r="J6" s="97"/>
    </row>
    <row r="7" spans="1:11">
      <c r="A7" s="130" t="s">
        <v>101</v>
      </c>
      <c r="B7" s="130"/>
      <c r="C7" s="130"/>
      <c r="D7" s="130"/>
      <c r="E7" s="130"/>
      <c r="F7" s="130"/>
      <c r="G7" s="130"/>
      <c r="H7" s="130"/>
      <c r="I7" s="97"/>
      <c r="J7" s="97"/>
    </row>
    <row r="8" spans="1:11">
      <c r="A8" s="37" t="s">
        <v>84</v>
      </c>
      <c r="B8" s="36">
        <v>1200</v>
      </c>
      <c r="C8" s="78">
        <f>табл.1!C90</f>
        <v>1034.2800000000013</v>
      </c>
      <c r="D8" s="78">
        <f>табл.1!D90</f>
        <v>-644.80999999999892</v>
      </c>
      <c r="E8" s="78">
        <f>табл.1!E90</f>
        <v>-1.4552803406786552E-12</v>
      </c>
      <c r="F8" s="78">
        <f>табл.1!F90</f>
        <v>-644.80999999999892</v>
      </c>
      <c r="G8" s="68">
        <f>F8-E8</f>
        <v>-644.80999999999744</v>
      </c>
      <c r="H8" s="70" t="s">
        <v>54</v>
      </c>
      <c r="I8" s="78">
        <v>0</v>
      </c>
      <c r="J8" s="97">
        <f>I8/4*3</f>
        <v>0</v>
      </c>
      <c r="K8" s="76">
        <f>J8-E8</f>
        <v>1.4552803406786552E-12</v>
      </c>
    </row>
    <row r="9" spans="1:11" ht="30">
      <c r="A9" s="37" t="s">
        <v>102</v>
      </c>
      <c r="B9" s="36">
        <v>2000</v>
      </c>
      <c r="C9" s="68"/>
      <c r="D9" s="68">
        <v>1034.2</v>
      </c>
      <c r="E9" s="68"/>
      <c r="F9" s="68">
        <v>1034.2</v>
      </c>
      <c r="G9" s="68" t="s">
        <v>54</v>
      </c>
      <c r="H9" s="68" t="s">
        <v>54</v>
      </c>
      <c r="I9" s="97"/>
      <c r="J9" s="97">
        <f t="shared" ref="J9:J45" si="0">I9/4*3</f>
        <v>0</v>
      </c>
      <c r="K9" s="76">
        <f t="shared" ref="K9:K45" si="1">J9-E9</f>
        <v>0</v>
      </c>
    </row>
    <row r="10" spans="1:11" ht="30">
      <c r="A10" s="37" t="s">
        <v>103</v>
      </c>
      <c r="B10" s="36">
        <v>2010</v>
      </c>
      <c r="C10" s="67" t="s">
        <v>54</v>
      </c>
      <c r="D10" s="67" t="s">
        <v>54</v>
      </c>
      <c r="E10" s="67" t="s">
        <v>54</v>
      </c>
      <c r="F10" s="67" t="s">
        <v>54</v>
      </c>
      <c r="G10" s="68" t="s">
        <v>54</v>
      </c>
      <c r="H10" s="68" t="s">
        <v>54</v>
      </c>
      <c r="I10" s="97"/>
      <c r="J10" s="97">
        <f t="shared" si="0"/>
        <v>0</v>
      </c>
      <c r="K10" s="76" t="e">
        <f t="shared" si="1"/>
        <v>#VALUE!</v>
      </c>
    </row>
    <row r="11" spans="1:11" ht="30">
      <c r="A11" s="37" t="s">
        <v>104</v>
      </c>
      <c r="B11" s="36">
        <v>2011</v>
      </c>
      <c r="C11" s="68" t="s">
        <v>229</v>
      </c>
      <c r="D11" s="68" t="s">
        <v>229</v>
      </c>
      <c r="E11" s="68" t="s">
        <v>229</v>
      </c>
      <c r="F11" s="68" t="s">
        <v>229</v>
      </c>
      <c r="G11" s="68" t="s">
        <v>54</v>
      </c>
      <c r="H11" s="68" t="s">
        <v>54</v>
      </c>
      <c r="I11" s="97"/>
      <c r="J11" s="97">
        <f t="shared" si="0"/>
        <v>0</v>
      </c>
      <c r="K11" s="76" t="e">
        <f t="shared" si="1"/>
        <v>#VALUE!</v>
      </c>
    </row>
    <row r="12" spans="1:11" ht="45">
      <c r="A12" s="37" t="s">
        <v>105</v>
      </c>
      <c r="B12" s="36">
        <v>2012</v>
      </c>
      <c r="C12" s="68" t="s">
        <v>229</v>
      </c>
      <c r="D12" s="68" t="s">
        <v>229</v>
      </c>
      <c r="E12" s="68" t="s">
        <v>229</v>
      </c>
      <c r="F12" s="68" t="s">
        <v>229</v>
      </c>
      <c r="G12" s="68" t="s">
        <v>54</v>
      </c>
      <c r="H12" s="68" t="s">
        <v>54</v>
      </c>
      <c r="I12" s="97"/>
      <c r="J12" s="97">
        <f t="shared" si="0"/>
        <v>0</v>
      </c>
      <c r="K12" s="76" t="e">
        <f t="shared" si="1"/>
        <v>#VALUE!</v>
      </c>
    </row>
    <row r="13" spans="1:11" ht="30">
      <c r="A13" s="37" t="s">
        <v>106</v>
      </c>
      <c r="B13" s="36" t="s">
        <v>107</v>
      </c>
      <c r="C13" s="68" t="s">
        <v>229</v>
      </c>
      <c r="D13" s="68" t="s">
        <v>229</v>
      </c>
      <c r="E13" s="68" t="s">
        <v>229</v>
      </c>
      <c r="F13" s="68" t="s">
        <v>229</v>
      </c>
      <c r="G13" s="68" t="s">
        <v>54</v>
      </c>
      <c r="H13" s="68" t="s">
        <v>54</v>
      </c>
      <c r="I13" s="97"/>
      <c r="J13" s="97">
        <f t="shared" si="0"/>
        <v>0</v>
      </c>
      <c r="K13" s="76" t="e">
        <f t="shared" si="1"/>
        <v>#VALUE!</v>
      </c>
    </row>
    <row r="14" spans="1:11">
      <c r="A14" s="37" t="s">
        <v>108</v>
      </c>
      <c r="B14" s="36">
        <v>2020</v>
      </c>
      <c r="C14" s="68" t="s">
        <v>91</v>
      </c>
      <c r="D14" s="68" t="s">
        <v>91</v>
      </c>
      <c r="E14" s="68" t="s">
        <v>91</v>
      </c>
      <c r="F14" s="68" t="s">
        <v>91</v>
      </c>
      <c r="G14" s="68" t="s">
        <v>54</v>
      </c>
      <c r="H14" s="68" t="s">
        <v>54</v>
      </c>
      <c r="I14" s="97"/>
      <c r="J14" s="97">
        <f t="shared" si="0"/>
        <v>0</v>
      </c>
      <c r="K14" s="76" t="e">
        <f t="shared" si="1"/>
        <v>#VALUE!</v>
      </c>
    </row>
    <row r="15" spans="1:11">
      <c r="A15" s="37" t="s">
        <v>109</v>
      </c>
      <c r="B15" s="36">
        <v>2030</v>
      </c>
      <c r="C15" s="68" t="s">
        <v>229</v>
      </c>
      <c r="D15" s="68" t="s">
        <v>229</v>
      </c>
      <c r="E15" s="68" t="s">
        <v>229</v>
      </c>
      <c r="F15" s="68" t="s">
        <v>229</v>
      </c>
      <c r="G15" s="68" t="s">
        <v>54</v>
      </c>
      <c r="H15" s="68" t="s">
        <v>54</v>
      </c>
      <c r="I15" s="97"/>
      <c r="J15" s="97">
        <f t="shared" si="0"/>
        <v>0</v>
      </c>
      <c r="K15" s="76" t="e">
        <f t="shared" si="1"/>
        <v>#VALUE!</v>
      </c>
    </row>
    <row r="16" spans="1:11" ht="30">
      <c r="A16" s="37" t="s">
        <v>255</v>
      </c>
      <c r="B16" s="36">
        <v>2031</v>
      </c>
      <c r="C16" s="68" t="s">
        <v>229</v>
      </c>
      <c r="D16" s="68" t="s">
        <v>229</v>
      </c>
      <c r="E16" s="68" t="s">
        <v>229</v>
      </c>
      <c r="F16" s="68" t="s">
        <v>229</v>
      </c>
      <c r="G16" s="68" t="s">
        <v>54</v>
      </c>
      <c r="H16" s="68" t="s">
        <v>54</v>
      </c>
      <c r="I16" s="97"/>
      <c r="J16" s="97">
        <f t="shared" si="0"/>
        <v>0</v>
      </c>
      <c r="K16" s="76" t="e">
        <f t="shared" si="1"/>
        <v>#VALUE!</v>
      </c>
    </row>
    <row r="17" spans="1:12">
      <c r="A17" s="37" t="s">
        <v>110</v>
      </c>
      <c r="B17" s="36">
        <v>2040</v>
      </c>
      <c r="C17" s="68" t="s">
        <v>229</v>
      </c>
      <c r="D17" s="68" t="s">
        <v>229</v>
      </c>
      <c r="E17" s="68" t="s">
        <v>229</v>
      </c>
      <c r="F17" s="68" t="s">
        <v>229</v>
      </c>
      <c r="G17" s="68" t="s">
        <v>54</v>
      </c>
      <c r="H17" s="68" t="s">
        <v>54</v>
      </c>
      <c r="I17" s="97"/>
      <c r="J17" s="97">
        <f t="shared" si="0"/>
        <v>0</v>
      </c>
      <c r="K17" s="76" t="e">
        <f t="shared" si="1"/>
        <v>#VALUE!</v>
      </c>
    </row>
    <row r="18" spans="1:12">
      <c r="A18" s="37" t="s">
        <v>256</v>
      </c>
      <c r="B18" s="36">
        <v>2050</v>
      </c>
      <c r="C18" s="68" t="s">
        <v>229</v>
      </c>
      <c r="D18" s="68" t="s">
        <v>229</v>
      </c>
      <c r="E18" s="68" t="s">
        <v>229</v>
      </c>
      <c r="F18" s="68" t="s">
        <v>229</v>
      </c>
      <c r="G18" s="68" t="s">
        <v>54</v>
      </c>
      <c r="H18" s="68" t="s">
        <v>54</v>
      </c>
      <c r="I18" s="97"/>
      <c r="J18" s="97">
        <f t="shared" si="0"/>
        <v>0</v>
      </c>
      <c r="K18" s="76" t="e">
        <f t="shared" si="1"/>
        <v>#VALUE!</v>
      </c>
    </row>
    <row r="19" spans="1:12">
      <c r="A19" s="37" t="s">
        <v>257</v>
      </c>
      <c r="B19" s="36">
        <v>2060</v>
      </c>
      <c r="C19" s="68" t="s">
        <v>229</v>
      </c>
      <c r="D19" s="68" t="s">
        <v>229</v>
      </c>
      <c r="E19" s="68" t="s">
        <v>229</v>
      </c>
      <c r="F19" s="68" t="s">
        <v>229</v>
      </c>
      <c r="G19" s="68" t="s">
        <v>54</v>
      </c>
      <c r="H19" s="68" t="s">
        <v>54</v>
      </c>
      <c r="I19" s="97"/>
      <c r="J19" s="97">
        <f t="shared" si="0"/>
        <v>0</v>
      </c>
      <c r="K19" s="76" t="e">
        <f t="shared" si="1"/>
        <v>#VALUE!</v>
      </c>
    </row>
    <row r="20" spans="1:12" ht="30">
      <c r="A20" s="37" t="s">
        <v>113</v>
      </c>
      <c r="B20" s="36">
        <v>2070</v>
      </c>
      <c r="C20" s="78">
        <f>C8+C9</f>
        <v>1034.2800000000013</v>
      </c>
      <c r="D20" s="78">
        <f t="shared" ref="D20:F20" si="2">D8+D9</f>
        <v>389.39000000000112</v>
      </c>
      <c r="E20" s="78">
        <f t="shared" si="2"/>
        <v>-1.4552803406786552E-12</v>
      </c>
      <c r="F20" s="78">
        <f t="shared" si="2"/>
        <v>389.39000000000112</v>
      </c>
      <c r="G20" s="69">
        <f>G8</f>
        <v>-644.80999999999744</v>
      </c>
      <c r="H20" s="68" t="s">
        <v>54</v>
      </c>
      <c r="I20" s="78">
        <f t="shared" ref="I20" si="3">I8</f>
        <v>0</v>
      </c>
      <c r="J20" s="97">
        <f t="shared" si="0"/>
        <v>0</v>
      </c>
      <c r="K20" s="76">
        <f t="shared" si="1"/>
        <v>1.4552803406786552E-12</v>
      </c>
    </row>
    <row r="21" spans="1:12">
      <c r="A21" s="130" t="s">
        <v>114</v>
      </c>
      <c r="B21" s="130"/>
      <c r="C21" s="130"/>
      <c r="D21" s="130"/>
      <c r="E21" s="130"/>
      <c r="F21" s="130"/>
      <c r="G21" s="130"/>
      <c r="H21" s="130"/>
      <c r="I21" s="97"/>
      <c r="J21" s="97">
        <f t="shared" si="0"/>
        <v>0</v>
      </c>
      <c r="K21" s="76">
        <f t="shared" si="1"/>
        <v>0</v>
      </c>
    </row>
    <row r="22" spans="1:12" ht="42.75">
      <c r="A22" s="38" t="s">
        <v>115</v>
      </c>
      <c r="B22" s="39">
        <v>2110</v>
      </c>
      <c r="C22" s="66">
        <f t="shared" ref="C22:D22" si="4">C31</f>
        <v>62.52</v>
      </c>
      <c r="D22" s="66">
        <f t="shared" si="4"/>
        <v>138.84</v>
      </c>
      <c r="E22" s="66">
        <f>E31</f>
        <v>166.96</v>
      </c>
      <c r="F22" s="66">
        <f>F31</f>
        <v>138.84</v>
      </c>
      <c r="G22" s="68">
        <f>F22-E22</f>
        <v>-28.120000000000005</v>
      </c>
      <c r="H22" s="68">
        <f>F22/E22*100</f>
        <v>83.157642549113547</v>
      </c>
      <c r="I22" s="66">
        <f>I31</f>
        <v>166.96</v>
      </c>
      <c r="J22" s="97">
        <f t="shared" si="0"/>
        <v>125.22</v>
      </c>
      <c r="K22" s="76">
        <f t="shared" si="1"/>
        <v>-41.740000000000009</v>
      </c>
    </row>
    <row r="23" spans="1:12">
      <c r="A23" s="37" t="s">
        <v>116</v>
      </c>
      <c r="B23" s="36">
        <v>2111</v>
      </c>
      <c r="C23" s="68" t="s">
        <v>91</v>
      </c>
      <c r="D23" s="68" t="s">
        <v>91</v>
      </c>
      <c r="E23" s="68" t="s">
        <v>91</v>
      </c>
      <c r="F23" s="68" t="s">
        <v>91</v>
      </c>
      <c r="G23" s="68" t="s">
        <v>54</v>
      </c>
      <c r="H23" s="68" t="s">
        <v>54</v>
      </c>
      <c r="I23" s="97"/>
      <c r="J23" s="97">
        <f t="shared" si="0"/>
        <v>0</v>
      </c>
      <c r="K23" s="76" t="e">
        <f t="shared" si="1"/>
        <v>#VALUE!</v>
      </c>
    </row>
    <row r="24" spans="1:12" ht="30">
      <c r="A24" s="37" t="s">
        <v>117</v>
      </c>
      <c r="B24" s="36">
        <v>2112</v>
      </c>
      <c r="C24" s="68" t="s">
        <v>91</v>
      </c>
      <c r="D24" s="68" t="s">
        <v>91</v>
      </c>
      <c r="E24" s="68">
        <v>0</v>
      </c>
      <c r="F24" s="68">
        <v>0.44</v>
      </c>
      <c r="G24" s="68" t="s">
        <v>54</v>
      </c>
      <c r="H24" s="68" t="s">
        <v>54</v>
      </c>
      <c r="I24" s="97"/>
      <c r="J24" s="97">
        <f t="shared" si="0"/>
        <v>0</v>
      </c>
      <c r="K24" s="76">
        <f t="shared" si="1"/>
        <v>0</v>
      </c>
    </row>
    <row r="25" spans="1:12" ht="30">
      <c r="A25" s="37" t="s">
        <v>118</v>
      </c>
      <c r="B25" s="36">
        <v>2113</v>
      </c>
      <c r="C25" s="68" t="s">
        <v>229</v>
      </c>
      <c r="D25" s="68" t="s">
        <v>229</v>
      </c>
      <c r="E25" s="68" t="s">
        <v>229</v>
      </c>
      <c r="F25" s="68" t="s">
        <v>229</v>
      </c>
      <c r="G25" s="68" t="s">
        <v>54</v>
      </c>
      <c r="H25" s="68" t="s">
        <v>54</v>
      </c>
      <c r="I25" s="97"/>
      <c r="J25" s="97">
        <f t="shared" si="0"/>
        <v>0</v>
      </c>
      <c r="K25" s="76" t="e">
        <f t="shared" si="1"/>
        <v>#VALUE!</v>
      </c>
    </row>
    <row r="26" spans="1:12">
      <c r="A26" s="37" t="s">
        <v>119</v>
      </c>
      <c r="B26" s="36">
        <v>2114</v>
      </c>
      <c r="C26" s="68" t="s">
        <v>91</v>
      </c>
      <c r="D26" s="68" t="s">
        <v>91</v>
      </c>
      <c r="E26" s="68" t="s">
        <v>91</v>
      </c>
      <c r="F26" s="68" t="s">
        <v>91</v>
      </c>
      <c r="G26" s="68" t="s">
        <v>54</v>
      </c>
      <c r="H26" s="68" t="s">
        <v>54</v>
      </c>
      <c r="I26" s="97"/>
      <c r="J26" s="97">
        <f t="shared" si="0"/>
        <v>0</v>
      </c>
      <c r="K26" s="76" t="e">
        <f t="shared" si="1"/>
        <v>#VALUE!</v>
      </c>
    </row>
    <row r="27" spans="1:12" ht="30">
      <c r="A27" s="37" t="s">
        <v>120</v>
      </c>
      <c r="B27" s="36">
        <v>2115</v>
      </c>
      <c r="C27" s="68" t="s">
        <v>91</v>
      </c>
      <c r="D27" s="68" t="s">
        <v>91</v>
      </c>
      <c r="E27" s="68" t="s">
        <v>91</v>
      </c>
      <c r="F27" s="68" t="s">
        <v>91</v>
      </c>
      <c r="G27" s="68" t="s">
        <v>54</v>
      </c>
      <c r="H27" s="68" t="s">
        <v>54</v>
      </c>
      <c r="I27" s="97"/>
      <c r="J27" s="97">
        <f t="shared" si="0"/>
        <v>0</v>
      </c>
      <c r="K27" s="76" t="e">
        <f t="shared" si="1"/>
        <v>#VALUE!</v>
      </c>
    </row>
    <row r="28" spans="1:12">
      <c r="A28" s="37" t="s">
        <v>121</v>
      </c>
      <c r="B28" s="36">
        <v>2116</v>
      </c>
      <c r="C28" s="68" t="s">
        <v>91</v>
      </c>
      <c r="D28" s="68" t="s">
        <v>91</v>
      </c>
      <c r="E28" s="68" t="s">
        <v>91</v>
      </c>
      <c r="F28" s="68" t="s">
        <v>91</v>
      </c>
      <c r="G28" s="68" t="s">
        <v>54</v>
      </c>
      <c r="H28" s="68" t="s">
        <v>54</v>
      </c>
      <c r="I28" s="97"/>
      <c r="J28" s="97">
        <f t="shared" si="0"/>
        <v>0</v>
      </c>
      <c r="K28" s="76" t="e">
        <f t="shared" si="1"/>
        <v>#VALUE!</v>
      </c>
    </row>
    <row r="29" spans="1:12">
      <c r="A29" s="37" t="s">
        <v>122</v>
      </c>
      <c r="B29" s="36">
        <v>2117</v>
      </c>
      <c r="C29" s="68" t="s">
        <v>91</v>
      </c>
      <c r="D29" s="68" t="s">
        <v>91</v>
      </c>
      <c r="E29" s="68" t="s">
        <v>91</v>
      </c>
      <c r="F29" s="68" t="s">
        <v>91</v>
      </c>
      <c r="G29" s="68" t="s">
        <v>54</v>
      </c>
      <c r="H29" s="68" t="s">
        <v>54</v>
      </c>
      <c r="I29" s="97"/>
      <c r="J29" s="97">
        <f t="shared" si="0"/>
        <v>0</v>
      </c>
      <c r="K29" s="76" t="e">
        <f t="shared" si="1"/>
        <v>#VALUE!</v>
      </c>
    </row>
    <row r="30" spans="1:12">
      <c r="A30" s="37" t="s">
        <v>258</v>
      </c>
      <c r="B30" s="36">
        <v>2118</v>
      </c>
      <c r="C30" s="68" t="s">
        <v>91</v>
      </c>
      <c r="D30" s="68" t="s">
        <v>91</v>
      </c>
      <c r="E30" s="68" t="s">
        <v>91</v>
      </c>
      <c r="F30" s="68" t="s">
        <v>91</v>
      </c>
      <c r="G30" s="68" t="s">
        <v>54</v>
      </c>
      <c r="H30" s="68" t="s">
        <v>54</v>
      </c>
      <c r="I30" s="97"/>
      <c r="J30" s="97">
        <f t="shared" si="0"/>
        <v>0</v>
      </c>
      <c r="K30" s="76" t="e">
        <f t="shared" si="1"/>
        <v>#VALUE!</v>
      </c>
    </row>
    <row r="31" spans="1:12">
      <c r="A31" s="37" t="s">
        <v>469</v>
      </c>
      <c r="B31" s="36">
        <v>2119</v>
      </c>
      <c r="C31" s="68">
        <v>62.52</v>
      </c>
      <c r="D31" s="68">
        <f>F31</f>
        <v>138.84</v>
      </c>
      <c r="E31" s="68">
        <v>166.96</v>
      </c>
      <c r="F31" s="68">
        <v>138.84</v>
      </c>
      <c r="G31" s="68">
        <f t="shared" ref="G31:G32" si="5">F31-E31</f>
        <v>-28.120000000000005</v>
      </c>
      <c r="H31" s="68">
        <f t="shared" ref="H31:H32" si="6">F31/E31*100</f>
        <v>83.157642549113547</v>
      </c>
      <c r="I31" s="97">
        <v>166.96</v>
      </c>
      <c r="J31" s="97">
        <f t="shared" si="0"/>
        <v>125.22</v>
      </c>
      <c r="K31" s="76">
        <f t="shared" si="1"/>
        <v>-41.740000000000009</v>
      </c>
    </row>
    <row r="32" spans="1:12" ht="28.5">
      <c r="A32" s="38" t="s">
        <v>259</v>
      </c>
      <c r="B32" s="39">
        <v>2120</v>
      </c>
      <c r="C32" s="66">
        <f t="shared" ref="C32:D32" si="7">C33+C34+C36</f>
        <v>746.48</v>
      </c>
      <c r="D32" s="66">
        <f t="shared" si="7"/>
        <v>1656.34</v>
      </c>
      <c r="E32" s="66">
        <f>E33+E34+E36</f>
        <v>2007</v>
      </c>
      <c r="F32" s="66">
        <f>F33+F34+F36</f>
        <v>1656.34</v>
      </c>
      <c r="G32" s="68">
        <f t="shared" si="5"/>
        <v>-350.66000000000008</v>
      </c>
      <c r="H32" s="68">
        <f t="shared" si="6"/>
        <v>82.528151469855501</v>
      </c>
      <c r="I32" s="66">
        <f>I33+I34+I36</f>
        <v>2007</v>
      </c>
      <c r="J32" s="97">
        <f t="shared" si="0"/>
        <v>1505.25</v>
      </c>
      <c r="K32" s="76">
        <f t="shared" si="1"/>
        <v>-501.75</v>
      </c>
      <c r="L32" s="3">
        <f>501.79+501.73+501.73</f>
        <v>1505.25</v>
      </c>
    </row>
    <row r="33" spans="1:12">
      <c r="A33" s="37" t="s">
        <v>258</v>
      </c>
      <c r="B33" s="36">
        <v>2121</v>
      </c>
      <c r="C33" s="68">
        <v>746.47</v>
      </c>
      <c r="D33" s="68">
        <f>F33</f>
        <v>1656.24</v>
      </c>
      <c r="E33" s="68">
        <v>2003.54</v>
      </c>
      <c r="F33" s="68">
        <v>1656.24</v>
      </c>
      <c r="G33" s="68">
        <f>F33-E33</f>
        <v>-347.29999999999995</v>
      </c>
      <c r="H33" s="68">
        <f>F33/E33*100</f>
        <v>82.665681743314337</v>
      </c>
      <c r="I33" s="97">
        <v>2003.54</v>
      </c>
      <c r="J33" s="97">
        <f t="shared" si="0"/>
        <v>1502.655</v>
      </c>
      <c r="K33" s="76">
        <f t="shared" si="1"/>
        <v>-500.88499999999999</v>
      </c>
    </row>
    <row r="34" spans="1:12">
      <c r="A34" s="37" t="s">
        <v>260</v>
      </c>
      <c r="B34" s="36">
        <v>2122</v>
      </c>
      <c r="C34" s="68"/>
      <c r="D34" s="68">
        <f t="shared" ref="D34:D36" si="8">F34</f>
        <v>0</v>
      </c>
      <c r="E34" s="68">
        <v>0.06</v>
      </c>
      <c r="F34" s="68">
        <v>0</v>
      </c>
      <c r="G34" s="68" t="s">
        <v>54</v>
      </c>
      <c r="H34" s="68" t="s">
        <v>54</v>
      </c>
      <c r="I34" s="97">
        <v>0.06</v>
      </c>
      <c r="J34" s="97">
        <f t="shared" si="0"/>
        <v>4.4999999999999998E-2</v>
      </c>
      <c r="K34" s="76">
        <f t="shared" si="1"/>
        <v>-1.4999999999999999E-2</v>
      </c>
    </row>
    <row r="35" spans="1:12">
      <c r="A35" s="37" t="s">
        <v>261</v>
      </c>
      <c r="B35" s="36">
        <v>2123</v>
      </c>
      <c r="C35" s="68"/>
      <c r="D35" s="68" t="str">
        <f t="shared" si="8"/>
        <v/>
      </c>
      <c r="E35" s="68" t="s">
        <v>91</v>
      </c>
      <c r="F35" s="68" t="s">
        <v>91</v>
      </c>
      <c r="G35" s="68" t="s">
        <v>54</v>
      </c>
      <c r="H35" s="68" t="s">
        <v>54</v>
      </c>
      <c r="I35" s="97"/>
      <c r="J35" s="97">
        <f t="shared" si="0"/>
        <v>0</v>
      </c>
      <c r="K35" s="76" t="e">
        <f t="shared" si="1"/>
        <v>#VALUE!</v>
      </c>
    </row>
    <row r="36" spans="1:12" ht="30">
      <c r="A36" s="37" t="s">
        <v>470</v>
      </c>
      <c r="B36" s="36">
        <v>2124</v>
      </c>
      <c r="C36" s="68">
        <v>0.01</v>
      </c>
      <c r="D36" s="68">
        <f t="shared" si="8"/>
        <v>0.1</v>
      </c>
      <c r="E36" s="68">
        <v>3.4</v>
      </c>
      <c r="F36" s="68">
        <v>0.1</v>
      </c>
      <c r="G36" s="68">
        <f>F36-E36</f>
        <v>-3.3</v>
      </c>
      <c r="H36" s="68">
        <f>F36/E36*100</f>
        <v>2.9411764705882355</v>
      </c>
      <c r="I36" s="97">
        <v>3.4</v>
      </c>
      <c r="J36" s="97">
        <f t="shared" si="0"/>
        <v>2.5499999999999998</v>
      </c>
      <c r="K36" s="76">
        <f t="shared" si="1"/>
        <v>-0.85000000000000009</v>
      </c>
    </row>
    <row r="37" spans="1:12" ht="28.5">
      <c r="A37" s="38" t="s">
        <v>262</v>
      </c>
      <c r="B37" s="39">
        <v>2130</v>
      </c>
      <c r="C37" s="66">
        <f t="shared" ref="C37:D37" si="9">C39+C40</f>
        <v>956.67</v>
      </c>
      <c r="D37" s="66">
        <f t="shared" si="9"/>
        <v>2065.8000000000002</v>
      </c>
      <c r="E37" s="66">
        <f>E39+E40</f>
        <v>2448.77</v>
      </c>
      <c r="F37" s="66">
        <f>F39+F40</f>
        <v>2065.8000000000002</v>
      </c>
      <c r="G37" s="68">
        <f>F37-E37</f>
        <v>-382.9699999999998</v>
      </c>
      <c r="H37" s="68">
        <f>F37/E37*100</f>
        <v>84.360719871609021</v>
      </c>
      <c r="I37" s="66">
        <f>I39+I40</f>
        <v>2448.77</v>
      </c>
      <c r="J37" s="97">
        <f t="shared" si="0"/>
        <v>1836.5774999999999</v>
      </c>
      <c r="K37" s="76">
        <f t="shared" si="1"/>
        <v>-612.19250000000011</v>
      </c>
      <c r="L37" s="3">
        <f>612.19+612.19+612.19</f>
        <v>1836.5700000000002</v>
      </c>
    </row>
    <row r="38" spans="1:12" ht="60">
      <c r="A38" s="37" t="s">
        <v>126</v>
      </c>
      <c r="B38" s="36">
        <v>2131</v>
      </c>
      <c r="C38" s="68"/>
      <c r="D38" s="68" t="str">
        <f>F38</f>
        <v/>
      </c>
      <c r="E38" s="68" t="s">
        <v>91</v>
      </c>
      <c r="F38" s="68" t="s">
        <v>91</v>
      </c>
      <c r="G38" s="68" t="s">
        <v>54</v>
      </c>
      <c r="H38" s="68" t="s">
        <v>54</v>
      </c>
      <c r="I38" s="97"/>
      <c r="J38" s="97">
        <f t="shared" si="0"/>
        <v>0</v>
      </c>
      <c r="K38" s="76" t="e">
        <f t="shared" si="1"/>
        <v>#VALUE!</v>
      </c>
    </row>
    <row r="39" spans="1:12">
      <c r="A39" s="37" t="s">
        <v>263</v>
      </c>
      <c r="B39" s="36">
        <v>2132</v>
      </c>
      <c r="C39" s="68">
        <v>3.68</v>
      </c>
      <c r="D39" s="68">
        <f t="shared" ref="D39:D41" si="10">F39</f>
        <v>4.42</v>
      </c>
      <c r="E39" s="68">
        <v>0</v>
      </c>
      <c r="F39" s="68">
        <v>4.42</v>
      </c>
      <c r="G39" s="68">
        <f t="shared" ref="G39:G41" si="11">F39-E39</f>
        <v>4.42</v>
      </c>
      <c r="H39" s="68" t="e">
        <f t="shared" ref="H39:H40" si="12">F39/E39*100</f>
        <v>#DIV/0!</v>
      </c>
      <c r="I39" s="97"/>
      <c r="J39" s="97">
        <f t="shared" si="0"/>
        <v>0</v>
      </c>
      <c r="K39" s="76">
        <f t="shared" si="1"/>
        <v>0</v>
      </c>
    </row>
    <row r="40" spans="1:12" ht="30">
      <c r="A40" s="37" t="s">
        <v>127</v>
      </c>
      <c r="B40" s="36">
        <v>2133</v>
      </c>
      <c r="C40" s="68">
        <v>952.99</v>
      </c>
      <c r="D40" s="68">
        <f t="shared" si="10"/>
        <v>2061.38</v>
      </c>
      <c r="E40" s="68">
        <v>2448.77</v>
      </c>
      <c r="F40" s="101">
        <f>табл.1!F109</f>
        <v>2061.38</v>
      </c>
      <c r="G40" s="68">
        <f t="shared" si="11"/>
        <v>-387.38999999999987</v>
      </c>
      <c r="H40" s="68">
        <f t="shared" si="12"/>
        <v>84.180221090588333</v>
      </c>
      <c r="I40" s="97">
        <v>2448.77</v>
      </c>
      <c r="J40" s="97">
        <f t="shared" si="0"/>
        <v>1836.5774999999999</v>
      </c>
      <c r="K40" s="76">
        <f t="shared" si="1"/>
        <v>-612.19250000000011</v>
      </c>
    </row>
    <row r="41" spans="1:12">
      <c r="A41" s="37" t="s">
        <v>488</v>
      </c>
      <c r="B41" s="36">
        <v>2134</v>
      </c>
      <c r="C41" s="68">
        <v>0.12</v>
      </c>
      <c r="D41" s="68">
        <f t="shared" si="10"/>
        <v>0.1</v>
      </c>
      <c r="E41" s="68"/>
      <c r="F41" s="68">
        <f>табл.1!F53*(-1)</f>
        <v>0.1</v>
      </c>
      <c r="G41" s="68">
        <f t="shared" si="11"/>
        <v>0.1</v>
      </c>
      <c r="H41" s="70" t="s">
        <v>54</v>
      </c>
      <c r="I41" s="97"/>
      <c r="J41" s="97">
        <f t="shared" si="0"/>
        <v>0</v>
      </c>
      <c r="K41" s="76">
        <f t="shared" si="1"/>
        <v>0</v>
      </c>
    </row>
    <row r="42" spans="1:12" ht="28.5">
      <c r="A42" s="38" t="s">
        <v>264</v>
      </c>
      <c r="B42" s="39">
        <v>2140</v>
      </c>
      <c r="C42" s="66" t="s">
        <v>54</v>
      </c>
      <c r="D42" s="66" t="s">
        <v>54</v>
      </c>
      <c r="E42" s="66" t="s">
        <v>54</v>
      </c>
      <c r="F42" s="66" t="s">
        <v>54</v>
      </c>
      <c r="G42" s="68" t="s">
        <v>54</v>
      </c>
      <c r="H42" s="68" t="s">
        <v>54</v>
      </c>
      <c r="I42" s="66" t="s">
        <v>54</v>
      </c>
      <c r="J42" s="97" t="e">
        <f t="shared" si="0"/>
        <v>#VALUE!</v>
      </c>
      <c r="K42" s="76" t="e">
        <f t="shared" si="1"/>
        <v>#VALUE!</v>
      </c>
    </row>
    <row r="43" spans="1:12" ht="45">
      <c r="A43" s="37" t="s">
        <v>265</v>
      </c>
      <c r="B43" s="36">
        <v>2141</v>
      </c>
      <c r="C43" s="68" t="s">
        <v>91</v>
      </c>
      <c r="D43" s="68" t="s">
        <v>91</v>
      </c>
      <c r="E43" s="68" t="s">
        <v>91</v>
      </c>
      <c r="F43" s="68" t="s">
        <v>91</v>
      </c>
      <c r="G43" s="68" t="s">
        <v>54</v>
      </c>
      <c r="H43" s="68" t="s">
        <v>54</v>
      </c>
      <c r="I43" s="93" t="s">
        <v>91</v>
      </c>
      <c r="J43" s="97" t="e">
        <f t="shared" si="0"/>
        <v>#VALUE!</v>
      </c>
      <c r="K43" s="76" t="e">
        <f t="shared" si="1"/>
        <v>#VALUE!</v>
      </c>
    </row>
    <row r="44" spans="1:12">
      <c r="A44" s="37" t="s">
        <v>266</v>
      </c>
      <c r="B44" s="36">
        <v>2142</v>
      </c>
      <c r="C44" s="68" t="s">
        <v>91</v>
      </c>
      <c r="D44" s="68" t="s">
        <v>91</v>
      </c>
      <c r="E44" s="68" t="s">
        <v>91</v>
      </c>
      <c r="F44" s="68" t="s">
        <v>91</v>
      </c>
      <c r="G44" s="68" t="s">
        <v>54</v>
      </c>
      <c r="H44" s="68" t="s">
        <v>54</v>
      </c>
      <c r="I44" s="93" t="s">
        <v>91</v>
      </c>
      <c r="J44" s="97" t="e">
        <f t="shared" si="0"/>
        <v>#VALUE!</v>
      </c>
      <c r="K44" s="76" t="e">
        <f t="shared" si="1"/>
        <v>#VALUE!</v>
      </c>
    </row>
    <row r="45" spans="1:12">
      <c r="A45" s="38" t="s">
        <v>128</v>
      </c>
      <c r="B45" s="39">
        <v>2200</v>
      </c>
      <c r="C45" s="66">
        <f>C22+C32+C37</f>
        <v>1765.67</v>
      </c>
      <c r="D45" s="66">
        <f t="shared" ref="D45" si="13">D22+D32+D37</f>
        <v>3860.98</v>
      </c>
      <c r="E45" s="66">
        <f>E22+E32+E37</f>
        <v>4622.7299999999996</v>
      </c>
      <c r="F45" s="66">
        <f>F22+F32+F37</f>
        <v>3860.98</v>
      </c>
      <c r="G45" s="68">
        <f t="shared" ref="G45" si="14">F45-E45</f>
        <v>-761.74999999999955</v>
      </c>
      <c r="H45" s="68">
        <f t="shared" ref="H45" si="15">F45/E45*100</f>
        <v>83.521641973465904</v>
      </c>
      <c r="I45" s="66">
        <f>I22+I32+I37</f>
        <v>4622.7299999999996</v>
      </c>
      <c r="J45" s="97">
        <f t="shared" si="0"/>
        <v>3467.0474999999997</v>
      </c>
      <c r="K45" s="76">
        <f t="shared" si="1"/>
        <v>-1155.6824999999999</v>
      </c>
      <c r="L45" s="3">
        <f>1155.72+1155.67+1155.67</f>
        <v>3467.0600000000004</v>
      </c>
    </row>
    <row r="47" spans="1:12" s="4" customFormat="1" ht="18.75">
      <c r="A47" s="5" t="s">
        <v>193</v>
      </c>
      <c r="C47" s="5"/>
      <c r="D47" s="5"/>
      <c r="E47" s="5"/>
      <c r="G47" s="120" t="s">
        <v>197</v>
      </c>
      <c r="H47" s="120"/>
    </row>
    <row r="48" spans="1:12" s="6" customFormat="1" ht="15" customHeight="1">
      <c r="A48" s="7" t="s">
        <v>194</v>
      </c>
      <c r="B48" s="7"/>
      <c r="C48" s="7"/>
      <c r="D48" s="7" t="s">
        <v>195</v>
      </c>
      <c r="E48" s="7"/>
      <c r="F48" s="7"/>
      <c r="G48" s="116" t="s">
        <v>196</v>
      </c>
      <c r="H48" s="116"/>
    </row>
  </sheetData>
  <sheetProtection password="CE28" sheet="1" objects="1" scenarios="1"/>
  <mergeCells count="9">
    <mergeCell ref="A2:H2"/>
    <mergeCell ref="G47:H47"/>
    <mergeCell ref="G48:H48"/>
    <mergeCell ref="A4:A5"/>
    <mergeCell ref="B4:B5"/>
    <mergeCell ref="C4:D4"/>
    <mergeCell ref="E4:H4"/>
    <mergeCell ref="A7:H7"/>
    <mergeCell ref="A21:H21"/>
  </mergeCells>
  <pageMargins left="0.31496062992125984" right="0.31496062992125984" top="0.94488188976377951" bottom="0.55118110236220474" header="0.31496062992125984" footer="0.31496062992125984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95"/>
  <sheetViews>
    <sheetView view="pageBreakPreview" topLeftCell="A82" zoomScaleSheetLayoutView="100" workbookViewId="0">
      <selection activeCell="F22" sqref="F22"/>
    </sheetView>
  </sheetViews>
  <sheetFormatPr defaultRowHeight="18.75"/>
  <cols>
    <col min="1" max="1" width="44.42578125" style="4" customWidth="1"/>
    <col min="2" max="2" width="8.7109375" style="4" customWidth="1"/>
    <col min="3" max="8" width="14.28515625" style="4" customWidth="1"/>
    <col min="9" max="10" width="17.42578125" style="4" hidden="1" customWidth="1"/>
    <col min="11" max="11" width="13" style="4" hidden="1" customWidth="1"/>
    <col min="12" max="12" width="13.7109375" style="4" hidden="1" customWidth="1"/>
    <col min="13" max="13" width="9.140625" style="4"/>
    <col min="14" max="14" width="11.85546875" style="4" bestFit="1" customWidth="1"/>
    <col min="15" max="16384" width="9.140625" style="4"/>
  </cols>
  <sheetData>
    <row r="1" spans="1:12">
      <c r="H1" s="4" t="s">
        <v>360</v>
      </c>
    </row>
    <row r="2" spans="1:12">
      <c r="A2" s="117" t="s">
        <v>363</v>
      </c>
      <c r="B2" s="117"/>
      <c r="C2" s="117"/>
      <c r="D2" s="117"/>
      <c r="E2" s="117"/>
      <c r="F2" s="117"/>
      <c r="G2" s="117"/>
      <c r="H2" s="117"/>
    </row>
    <row r="4" spans="1:12" ht="38.25" customHeight="1">
      <c r="A4" s="137" t="s">
        <v>42</v>
      </c>
      <c r="B4" s="137" t="s">
        <v>43</v>
      </c>
      <c r="C4" s="137" t="s">
        <v>44</v>
      </c>
      <c r="D4" s="137"/>
      <c r="E4" s="137" t="s">
        <v>45</v>
      </c>
      <c r="F4" s="137"/>
      <c r="G4" s="137"/>
      <c r="H4" s="137"/>
      <c r="I4" s="20" t="s">
        <v>495</v>
      </c>
      <c r="J4" s="20" t="s">
        <v>520</v>
      </c>
    </row>
    <row r="5" spans="1:12">
      <c r="A5" s="137"/>
      <c r="B5" s="137"/>
      <c r="C5" s="23" t="s">
        <v>46</v>
      </c>
      <c r="D5" s="23" t="s">
        <v>47</v>
      </c>
      <c r="E5" s="23" t="s">
        <v>48</v>
      </c>
      <c r="F5" s="23" t="s">
        <v>49</v>
      </c>
      <c r="G5" s="23" t="s">
        <v>50</v>
      </c>
      <c r="H5" s="23" t="s">
        <v>51</v>
      </c>
      <c r="I5" s="96"/>
      <c r="J5" s="96"/>
    </row>
    <row r="6" spans="1:12">
      <c r="A6" s="23">
        <v>1</v>
      </c>
      <c r="B6" s="23">
        <v>2</v>
      </c>
      <c r="C6" s="23">
        <v>3</v>
      </c>
      <c r="D6" s="23">
        <v>4</v>
      </c>
      <c r="E6" s="23">
        <v>5</v>
      </c>
      <c r="F6" s="23">
        <v>6</v>
      </c>
      <c r="G6" s="23">
        <v>7</v>
      </c>
      <c r="H6" s="23">
        <v>8</v>
      </c>
      <c r="I6" s="96"/>
      <c r="J6" s="96"/>
    </row>
    <row r="7" spans="1:12">
      <c r="A7" s="35" t="s">
        <v>268</v>
      </c>
      <c r="B7" s="138" t="s">
        <v>91</v>
      </c>
      <c r="C7" s="138"/>
      <c r="D7" s="138"/>
      <c r="E7" s="138"/>
      <c r="F7" s="138"/>
      <c r="G7" s="138"/>
      <c r="H7" s="138"/>
      <c r="I7" s="96"/>
      <c r="J7" s="96"/>
    </row>
    <row r="8" spans="1:12" ht="25.5">
      <c r="A8" s="30" t="s">
        <v>269</v>
      </c>
      <c r="B8" s="31">
        <v>3000</v>
      </c>
      <c r="C8" s="63">
        <f>C9+C10+C12+C15+C16+C20</f>
        <v>8401.65</v>
      </c>
      <c r="D8" s="63">
        <f>D9+D10+D12+D15+D16+D20</f>
        <v>15326.31</v>
      </c>
      <c r="E8" s="63">
        <f>E9+E10+E12+E15+E16+E20</f>
        <v>18393.41</v>
      </c>
      <c r="F8" s="63">
        <f>F9+F10+F12+F15+F16+F20</f>
        <v>15326.31</v>
      </c>
      <c r="G8" s="62">
        <f>F8-E8</f>
        <v>-3067.1000000000004</v>
      </c>
      <c r="H8" s="62">
        <f>F8/E8*100</f>
        <v>83.325006075545531</v>
      </c>
      <c r="I8" s="94">
        <f>I9+I10+I12+I15+I16+I20</f>
        <v>18393.41</v>
      </c>
      <c r="J8" s="96">
        <f>I8/4*3</f>
        <v>13795.057499999999</v>
      </c>
      <c r="K8" s="64">
        <f>J8-E8</f>
        <v>-4598.3525000000009</v>
      </c>
      <c r="L8" s="4">
        <f>4924.13+4369.19+4286.95</f>
        <v>13580.27</v>
      </c>
    </row>
    <row r="9" spans="1:12" ht="25.5">
      <c r="A9" s="28" t="s">
        <v>270</v>
      </c>
      <c r="B9" s="23">
        <v>3010</v>
      </c>
      <c r="C9" s="49">
        <v>3876.43</v>
      </c>
      <c r="D9" s="49">
        <f>F9</f>
        <v>7335.55</v>
      </c>
      <c r="E9" s="49">
        <v>10117.709999999999</v>
      </c>
      <c r="F9" s="49">
        <f>7311.33+24.22</f>
        <v>7335.55</v>
      </c>
      <c r="G9" s="62">
        <f t="shared" ref="G9:G34" si="0">F9-E9</f>
        <v>-2782.1599999999989</v>
      </c>
      <c r="H9" s="62">
        <f t="shared" ref="H9:H34" si="1">F9/E9*100</f>
        <v>72.502078039398256</v>
      </c>
      <c r="I9" s="96">
        <v>10117.709999999999</v>
      </c>
      <c r="J9" s="96">
        <f t="shared" ref="J9:J75" si="2">I9/4*3</f>
        <v>7588.2824999999993</v>
      </c>
      <c r="K9" s="64">
        <f t="shared" ref="K9:K77" si="3">J9-E9</f>
        <v>-2529.4274999999998</v>
      </c>
    </row>
    <row r="10" spans="1:12">
      <c r="A10" s="28" t="s">
        <v>271</v>
      </c>
      <c r="B10" s="23">
        <v>3020</v>
      </c>
      <c r="C10" s="49"/>
      <c r="D10" s="49">
        <f t="shared" ref="D10:D36" si="4">F10</f>
        <v>0</v>
      </c>
      <c r="E10" s="49"/>
      <c r="F10" s="49"/>
      <c r="G10" s="62" t="s">
        <v>54</v>
      </c>
      <c r="H10" s="62" t="s">
        <v>54</v>
      </c>
      <c r="I10" s="96"/>
      <c r="J10" s="96">
        <f t="shared" si="2"/>
        <v>0</v>
      </c>
      <c r="K10" s="64">
        <f t="shared" si="3"/>
        <v>0</v>
      </c>
    </row>
    <row r="11" spans="1:12">
      <c r="A11" s="28" t="s">
        <v>272</v>
      </c>
      <c r="B11" s="23">
        <v>3030</v>
      </c>
      <c r="C11" s="49"/>
      <c r="D11" s="49">
        <f t="shared" si="4"/>
        <v>0</v>
      </c>
      <c r="E11" s="49"/>
      <c r="F11" s="49"/>
      <c r="G11" s="62" t="s">
        <v>54</v>
      </c>
      <c r="H11" s="62" t="s">
        <v>54</v>
      </c>
      <c r="I11" s="96"/>
      <c r="J11" s="96">
        <f t="shared" si="2"/>
        <v>0</v>
      </c>
      <c r="K11" s="64">
        <f t="shared" si="3"/>
        <v>0</v>
      </c>
    </row>
    <row r="12" spans="1:12">
      <c r="A12" s="28" t="s">
        <v>273</v>
      </c>
      <c r="B12" s="23">
        <v>3040</v>
      </c>
      <c r="C12" s="49">
        <f>C13+C14</f>
        <v>4523.8599999999997</v>
      </c>
      <c r="D12" s="49">
        <f t="shared" ref="D12:F12" si="5">D13+D14</f>
        <v>7987.62</v>
      </c>
      <c r="E12" s="49">
        <f t="shared" si="5"/>
        <v>8273.2999999999993</v>
      </c>
      <c r="F12" s="49">
        <f t="shared" si="5"/>
        <v>7987.62</v>
      </c>
      <c r="G12" s="62">
        <f t="shared" si="0"/>
        <v>-285.67999999999938</v>
      </c>
      <c r="H12" s="62">
        <f t="shared" si="1"/>
        <v>96.546964331040826</v>
      </c>
      <c r="I12" s="96">
        <v>8273.2999999999993</v>
      </c>
      <c r="J12" s="96">
        <f t="shared" si="2"/>
        <v>6204.9749999999995</v>
      </c>
      <c r="K12" s="64">
        <f t="shared" si="3"/>
        <v>-2068.3249999999998</v>
      </c>
    </row>
    <row r="13" spans="1:12">
      <c r="A13" s="114" t="s">
        <v>533</v>
      </c>
      <c r="B13" s="113" t="s">
        <v>535</v>
      </c>
      <c r="C13" s="49">
        <v>4523.8599999999997</v>
      </c>
      <c r="D13" s="49">
        <f t="shared" si="4"/>
        <v>7904.62</v>
      </c>
      <c r="E13" s="49">
        <v>8273.2999999999993</v>
      </c>
      <c r="F13" s="49">
        <v>7904.62</v>
      </c>
      <c r="G13" s="115">
        <f t="shared" ref="G13:G15" si="6">F13-E13</f>
        <v>-368.67999999999938</v>
      </c>
      <c r="H13" s="115">
        <f t="shared" ref="H13:H15" si="7">F13/E13*100</f>
        <v>95.543737081938289</v>
      </c>
      <c r="I13" s="96"/>
      <c r="J13" s="96"/>
      <c r="K13" s="64"/>
    </row>
    <row r="14" spans="1:12">
      <c r="A14" s="114" t="s">
        <v>534</v>
      </c>
      <c r="B14" s="113" t="s">
        <v>536</v>
      </c>
      <c r="C14" s="49"/>
      <c r="D14" s="49">
        <f t="shared" si="4"/>
        <v>83</v>
      </c>
      <c r="E14" s="49">
        <v>0</v>
      </c>
      <c r="F14" s="49">
        <v>83</v>
      </c>
      <c r="G14" s="115">
        <f t="shared" si="6"/>
        <v>83</v>
      </c>
      <c r="H14" s="115" t="e">
        <f t="shared" si="7"/>
        <v>#DIV/0!</v>
      </c>
      <c r="I14" s="96"/>
      <c r="J14" s="96"/>
      <c r="K14" s="64"/>
    </row>
    <row r="15" spans="1:12">
      <c r="A15" s="28" t="s">
        <v>274</v>
      </c>
      <c r="B15" s="23">
        <v>3050</v>
      </c>
      <c r="C15" s="49"/>
      <c r="D15" s="49">
        <f t="shared" si="4"/>
        <v>0</v>
      </c>
      <c r="E15" s="49"/>
      <c r="F15" s="49"/>
      <c r="G15" s="115">
        <f t="shared" si="6"/>
        <v>0</v>
      </c>
      <c r="H15" s="115" t="e">
        <f t="shared" si="7"/>
        <v>#DIV/0!</v>
      </c>
      <c r="I15" s="96"/>
      <c r="J15" s="96">
        <f t="shared" si="2"/>
        <v>0</v>
      </c>
      <c r="K15" s="64">
        <f t="shared" si="3"/>
        <v>0</v>
      </c>
    </row>
    <row r="16" spans="1:12" ht="25.5">
      <c r="A16" s="28" t="s">
        <v>275</v>
      </c>
      <c r="B16" s="23">
        <v>3060</v>
      </c>
      <c r="C16" s="51">
        <f t="shared" ref="C16:D16" si="8">C17+C18+C19</f>
        <v>0</v>
      </c>
      <c r="D16" s="51">
        <f t="shared" si="8"/>
        <v>0</v>
      </c>
      <c r="E16" s="51">
        <f>E17+E18+E19</f>
        <v>0</v>
      </c>
      <c r="F16" s="51">
        <f>F17+F18+F19</f>
        <v>0</v>
      </c>
      <c r="G16" s="62" t="s">
        <v>54</v>
      </c>
      <c r="H16" s="62" t="s">
        <v>54</v>
      </c>
      <c r="I16" s="51">
        <f>I17+I18+I19</f>
        <v>0</v>
      </c>
      <c r="J16" s="96">
        <f t="shared" si="2"/>
        <v>0</v>
      </c>
      <c r="K16" s="64">
        <f t="shared" si="3"/>
        <v>0</v>
      </c>
    </row>
    <row r="17" spans="1:14">
      <c r="A17" s="28" t="s">
        <v>276</v>
      </c>
      <c r="B17" s="23">
        <v>3061</v>
      </c>
      <c r="C17" s="49"/>
      <c r="D17" s="49">
        <f t="shared" si="4"/>
        <v>0</v>
      </c>
      <c r="E17" s="49"/>
      <c r="F17" s="49"/>
      <c r="G17" s="62" t="s">
        <v>54</v>
      </c>
      <c r="H17" s="62" t="s">
        <v>54</v>
      </c>
      <c r="I17" s="96"/>
      <c r="J17" s="96">
        <f t="shared" si="2"/>
        <v>0</v>
      </c>
      <c r="K17" s="64">
        <f t="shared" si="3"/>
        <v>0</v>
      </c>
    </row>
    <row r="18" spans="1:14">
      <c r="A18" s="28" t="s">
        <v>277</v>
      </c>
      <c r="B18" s="23">
        <v>3062</v>
      </c>
      <c r="C18" s="49"/>
      <c r="D18" s="49">
        <f t="shared" si="4"/>
        <v>0</v>
      </c>
      <c r="E18" s="49"/>
      <c r="F18" s="49"/>
      <c r="G18" s="62" t="s">
        <v>54</v>
      </c>
      <c r="H18" s="62" t="s">
        <v>54</v>
      </c>
      <c r="I18" s="96"/>
      <c r="J18" s="96">
        <f t="shared" si="2"/>
        <v>0</v>
      </c>
      <c r="K18" s="64">
        <f t="shared" si="3"/>
        <v>0</v>
      </c>
    </row>
    <row r="19" spans="1:14">
      <c r="A19" s="28" t="s">
        <v>278</v>
      </c>
      <c r="B19" s="23">
        <v>3063</v>
      </c>
      <c r="C19" s="49"/>
      <c r="D19" s="49">
        <f t="shared" si="4"/>
        <v>0</v>
      </c>
      <c r="E19" s="49"/>
      <c r="F19" s="49"/>
      <c r="G19" s="62" t="s">
        <v>54</v>
      </c>
      <c r="H19" s="62" t="s">
        <v>54</v>
      </c>
      <c r="I19" s="96"/>
      <c r="J19" s="96">
        <f t="shared" si="2"/>
        <v>0</v>
      </c>
      <c r="K19" s="64">
        <f t="shared" si="3"/>
        <v>0</v>
      </c>
    </row>
    <row r="20" spans="1:14">
      <c r="A20" s="28" t="s">
        <v>458</v>
      </c>
      <c r="B20" s="23">
        <v>3070</v>
      </c>
      <c r="C20" s="49">
        <v>1.36</v>
      </c>
      <c r="D20" s="49">
        <f t="shared" si="4"/>
        <v>3.14</v>
      </c>
      <c r="E20" s="49">
        <v>2.4</v>
      </c>
      <c r="F20" s="49">
        <f>табл.1!F66</f>
        <v>3.14</v>
      </c>
      <c r="G20" s="62">
        <f t="shared" si="0"/>
        <v>0.74000000000000021</v>
      </c>
      <c r="H20" s="62">
        <f t="shared" si="1"/>
        <v>130.83333333333334</v>
      </c>
      <c r="I20" s="96">
        <v>2.4</v>
      </c>
      <c r="J20" s="96">
        <f t="shared" si="2"/>
        <v>1.7999999999999998</v>
      </c>
      <c r="K20" s="64">
        <f t="shared" si="3"/>
        <v>-0.60000000000000009</v>
      </c>
    </row>
    <row r="21" spans="1:14" ht="25.5">
      <c r="A21" s="30" t="s">
        <v>280</v>
      </c>
      <c r="B21" s="31">
        <v>3100</v>
      </c>
      <c r="C21" s="63">
        <f>C22+C23+C24+C25+C29+C42+C43</f>
        <v>-6955.170000000001</v>
      </c>
      <c r="D21" s="63">
        <f>D22+D23+D24+D25+D29+D42+D43</f>
        <v>-15732.38</v>
      </c>
      <c r="E21" s="63">
        <f>E22+E23+E24+E25+E29+E42+E43</f>
        <v>-18393.41</v>
      </c>
      <c r="F21" s="63">
        <f>F22+F23+F24+F25+F29+F42+F43</f>
        <v>-15732.38</v>
      </c>
      <c r="G21" s="62">
        <f t="shared" si="0"/>
        <v>2661.0300000000007</v>
      </c>
      <c r="H21" s="62">
        <f t="shared" si="1"/>
        <v>85.53269893945712</v>
      </c>
      <c r="I21" s="94">
        <f>I22+I23+I24+I25+I29+I42+I43</f>
        <v>-18393.41</v>
      </c>
      <c r="J21" s="96">
        <f t="shared" si="2"/>
        <v>-13795.057499999999</v>
      </c>
      <c r="K21" s="64">
        <f t="shared" si="3"/>
        <v>4598.3525000000009</v>
      </c>
      <c r="L21" s="4">
        <f>-4924.13-4369.19-4286.95</f>
        <v>-13580.27</v>
      </c>
    </row>
    <row r="22" spans="1:14" ht="25.5">
      <c r="A22" s="28" t="s">
        <v>281</v>
      </c>
      <c r="B22" s="23">
        <v>3110</v>
      </c>
      <c r="C22" s="49">
        <v>-1766.49</v>
      </c>
      <c r="D22" s="49">
        <f t="shared" si="4"/>
        <v>-4273.0300000000007</v>
      </c>
      <c r="E22" s="49">
        <v>-4661.4399999999996</v>
      </c>
      <c r="F22" s="49">
        <f>-4200.89+10.44+0.6-83-0.01-0.17</f>
        <v>-4273.0300000000007</v>
      </c>
      <c r="G22" s="62">
        <f t="shared" si="0"/>
        <v>388.40999999999894</v>
      </c>
      <c r="H22" s="62">
        <f t="shared" si="1"/>
        <v>91.66759627926136</v>
      </c>
      <c r="I22" s="96">
        <v>-4661.4399999999996</v>
      </c>
      <c r="J22" s="96">
        <f t="shared" si="2"/>
        <v>-3496.08</v>
      </c>
      <c r="K22" s="64">
        <f t="shared" si="3"/>
        <v>1165.3599999999997</v>
      </c>
    </row>
    <row r="23" spans="1:14">
      <c r="A23" s="28" t="s">
        <v>282</v>
      </c>
      <c r="B23" s="23">
        <v>3120</v>
      </c>
      <c r="C23" s="49">
        <v>-3358.78</v>
      </c>
      <c r="D23" s="49">
        <f t="shared" si="4"/>
        <v>-7396.4699999999993</v>
      </c>
      <c r="E23" s="49">
        <v>-8960.2800000000007</v>
      </c>
      <c r="F23" s="49">
        <f>(табл.1!F108*(-1))-табл.3!F34-табл.3!F40</f>
        <v>-7396.4699999999993</v>
      </c>
      <c r="G23" s="62">
        <f t="shared" si="0"/>
        <v>1563.8100000000013</v>
      </c>
      <c r="H23" s="62">
        <f t="shared" si="1"/>
        <v>82.54730878945746</v>
      </c>
      <c r="I23" s="96">
        <v>-8960.2800000000007</v>
      </c>
      <c r="J23" s="96">
        <f t="shared" si="2"/>
        <v>-6720.2100000000009</v>
      </c>
      <c r="K23" s="64">
        <f t="shared" si="3"/>
        <v>2240.0699999999997</v>
      </c>
      <c r="N23" s="64"/>
    </row>
    <row r="24" spans="1:14">
      <c r="A24" s="28" t="s">
        <v>96</v>
      </c>
      <c r="B24" s="23">
        <v>3130</v>
      </c>
      <c r="C24" s="49"/>
      <c r="D24" s="49">
        <f t="shared" si="4"/>
        <v>0</v>
      </c>
      <c r="E24" s="49"/>
      <c r="F24" s="49"/>
      <c r="G24" s="62" t="s">
        <v>54</v>
      </c>
      <c r="H24" s="62" t="s">
        <v>54</v>
      </c>
      <c r="I24" s="96"/>
      <c r="J24" s="96">
        <f t="shared" si="2"/>
        <v>0</v>
      </c>
      <c r="K24" s="64">
        <f t="shared" si="3"/>
        <v>0</v>
      </c>
      <c r="N24" s="64"/>
    </row>
    <row r="25" spans="1:14" ht="25.5">
      <c r="A25" s="28" t="s">
        <v>283</v>
      </c>
      <c r="B25" s="23">
        <v>3140</v>
      </c>
      <c r="C25" s="51">
        <f t="shared" ref="C25:D25" si="9">SUM(C26:C28)</f>
        <v>0</v>
      </c>
      <c r="D25" s="51">
        <f t="shared" si="9"/>
        <v>0</v>
      </c>
      <c r="E25" s="51">
        <f>SUM(E26:E28)</f>
        <v>0</v>
      </c>
      <c r="F25" s="51">
        <f>SUM(F26:F28)</f>
        <v>0</v>
      </c>
      <c r="G25" s="62" t="s">
        <v>54</v>
      </c>
      <c r="H25" s="62" t="s">
        <v>54</v>
      </c>
      <c r="I25" s="51">
        <f>SUM(I26:I28)</f>
        <v>0</v>
      </c>
      <c r="J25" s="96">
        <f t="shared" si="2"/>
        <v>0</v>
      </c>
      <c r="K25" s="64">
        <f t="shared" si="3"/>
        <v>0</v>
      </c>
      <c r="N25" s="64"/>
    </row>
    <row r="26" spans="1:14">
      <c r="A26" s="28" t="s">
        <v>276</v>
      </c>
      <c r="B26" s="23">
        <v>3141</v>
      </c>
      <c r="C26" s="49"/>
      <c r="D26" s="49">
        <f t="shared" si="4"/>
        <v>0</v>
      </c>
      <c r="E26" s="49"/>
      <c r="F26" s="49"/>
      <c r="G26" s="62" t="s">
        <v>54</v>
      </c>
      <c r="H26" s="62" t="s">
        <v>54</v>
      </c>
      <c r="I26" s="49"/>
      <c r="J26" s="96">
        <f t="shared" si="2"/>
        <v>0</v>
      </c>
      <c r="K26" s="64">
        <f t="shared" si="3"/>
        <v>0</v>
      </c>
      <c r="N26" s="64"/>
    </row>
    <row r="27" spans="1:14">
      <c r="A27" s="28" t="s">
        <v>277</v>
      </c>
      <c r="B27" s="23">
        <v>3142</v>
      </c>
      <c r="C27" s="49"/>
      <c r="D27" s="49">
        <f t="shared" si="4"/>
        <v>0</v>
      </c>
      <c r="E27" s="49"/>
      <c r="F27" s="49"/>
      <c r="G27" s="62" t="s">
        <v>54</v>
      </c>
      <c r="H27" s="62" t="s">
        <v>54</v>
      </c>
      <c r="I27" s="49"/>
      <c r="J27" s="96">
        <f t="shared" si="2"/>
        <v>0</v>
      </c>
      <c r="K27" s="64">
        <f t="shared" si="3"/>
        <v>0</v>
      </c>
    </row>
    <row r="28" spans="1:14">
      <c r="A28" s="28" t="s">
        <v>278</v>
      </c>
      <c r="B28" s="23">
        <v>3143</v>
      </c>
      <c r="C28" s="49"/>
      <c r="D28" s="49">
        <f t="shared" si="4"/>
        <v>0</v>
      </c>
      <c r="E28" s="49"/>
      <c r="F28" s="49"/>
      <c r="G28" s="62" t="s">
        <v>54</v>
      </c>
      <c r="H28" s="62" t="s">
        <v>54</v>
      </c>
      <c r="I28" s="49"/>
      <c r="J28" s="96">
        <f t="shared" si="2"/>
        <v>0</v>
      </c>
      <c r="K28" s="64">
        <f t="shared" si="3"/>
        <v>0</v>
      </c>
      <c r="N28" s="64"/>
    </row>
    <row r="29" spans="1:14" ht="25.5">
      <c r="A29" s="28" t="s">
        <v>284</v>
      </c>
      <c r="B29" s="23">
        <v>3150</v>
      </c>
      <c r="C29" s="51">
        <f>C30+C31+C32+C33+C34+C35+C38</f>
        <v>-1765.8000000000002</v>
      </c>
      <c r="D29" s="51">
        <f>D30+D31+D32+D33+D34+D35+D38</f>
        <v>-3859.46</v>
      </c>
      <c r="E29" s="51">
        <f>E30+E31+E32+E33+E34+E35+E38</f>
        <v>-4622.7299999999996</v>
      </c>
      <c r="F29" s="51">
        <f>F30+F31+F32+F33+F34+F35+F38</f>
        <v>-3859.46</v>
      </c>
      <c r="G29" s="62">
        <f t="shared" si="0"/>
        <v>763.26999999999953</v>
      </c>
      <c r="H29" s="62">
        <f t="shared" si="1"/>
        <v>83.488760970249189</v>
      </c>
      <c r="I29" s="51">
        <f>I30+I31+I32+I33+I34+I35+I38</f>
        <v>-4622.7299999999996</v>
      </c>
      <c r="J29" s="96">
        <f t="shared" si="2"/>
        <v>-3467.0474999999997</v>
      </c>
      <c r="K29" s="64">
        <f t="shared" si="3"/>
        <v>1155.6824999999999</v>
      </c>
      <c r="L29" s="4">
        <f>-1155.72-1155.67-1155.67</f>
        <v>-3467.0600000000004</v>
      </c>
    </row>
    <row r="30" spans="1:14">
      <c r="A30" s="28" t="s">
        <v>116</v>
      </c>
      <c r="B30" s="23">
        <v>3151</v>
      </c>
      <c r="C30" s="49"/>
      <c r="D30" s="49">
        <f t="shared" si="4"/>
        <v>0</v>
      </c>
      <c r="E30" s="49"/>
      <c r="F30" s="49"/>
      <c r="G30" s="62" t="s">
        <v>54</v>
      </c>
      <c r="H30" s="62" t="s">
        <v>54</v>
      </c>
      <c r="I30" s="96"/>
      <c r="J30" s="96">
        <f t="shared" si="2"/>
        <v>0</v>
      </c>
      <c r="K30" s="64">
        <f t="shared" si="3"/>
        <v>0</v>
      </c>
    </row>
    <row r="31" spans="1:14">
      <c r="A31" s="28" t="s">
        <v>285</v>
      </c>
      <c r="B31" s="23">
        <v>3152</v>
      </c>
      <c r="C31" s="49"/>
      <c r="D31" s="49">
        <f t="shared" si="4"/>
        <v>0</v>
      </c>
      <c r="E31" s="49"/>
      <c r="F31" s="49"/>
      <c r="G31" s="62" t="s">
        <v>54</v>
      </c>
      <c r="H31" s="62" t="s">
        <v>54</v>
      </c>
      <c r="I31" s="96"/>
      <c r="J31" s="96">
        <f t="shared" si="2"/>
        <v>0</v>
      </c>
      <c r="K31" s="64">
        <f t="shared" si="3"/>
        <v>0</v>
      </c>
    </row>
    <row r="32" spans="1:14">
      <c r="A32" s="28" t="s">
        <v>119</v>
      </c>
      <c r="B32" s="23">
        <v>3153</v>
      </c>
      <c r="C32" s="49"/>
      <c r="D32" s="49">
        <f t="shared" si="4"/>
        <v>0</v>
      </c>
      <c r="E32" s="49"/>
      <c r="F32" s="49"/>
      <c r="G32" s="62" t="s">
        <v>54</v>
      </c>
      <c r="H32" s="62" t="s">
        <v>54</v>
      </c>
      <c r="I32" s="96"/>
      <c r="J32" s="96">
        <f t="shared" si="2"/>
        <v>0</v>
      </c>
      <c r="K32" s="64">
        <f t="shared" si="3"/>
        <v>0</v>
      </c>
    </row>
    <row r="33" spans="1:12">
      <c r="A33" s="28" t="s">
        <v>286</v>
      </c>
      <c r="B33" s="23">
        <v>3154</v>
      </c>
      <c r="C33" s="49"/>
      <c r="D33" s="49">
        <f t="shared" si="4"/>
        <v>0</v>
      </c>
      <c r="E33" s="49"/>
      <c r="F33" s="49"/>
      <c r="G33" s="62" t="s">
        <v>54</v>
      </c>
      <c r="H33" s="62" t="s">
        <v>54</v>
      </c>
      <c r="I33" s="96"/>
      <c r="J33" s="96">
        <f t="shared" si="2"/>
        <v>0</v>
      </c>
      <c r="K33" s="64">
        <f t="shared" si="3"/>
        <v>0</v>
      </c>
    </row>
    <row r="34" spans="1:12">
      <c r="A34" s="28" t="s">
        <v>258</v>
      </c>
      <c r="B34" s="23">
        <v>3155</v>
      </c>
      <c r="C34" s="49">
        <v>-746.47</v>
      </c>
      <c r="D34" s="49">
        <f t="shared" si="4"/>
        <v>-1656.24</v>
      </c>
      <c r="E34" s="49">
        <v>-2003.54</v>
      </c>
      <c r="F34" s="49">
        <f>табл.2!F33*(-1)</f>
        <v>-1656.24</v>
      </c>
      <c r="G34" s="62">
        <f t="shared" si="0"/>
        <v>347.29999999999995</v>
      </c>
      <c r="H34" s="62">
        <f t="shared" si="1"/>
        <v>82.665681743314337</v>
      </c>
      <c r="I34" s="96">
        <v>-2003.54</v>
      </c>
      <c r="J34" s="96">
        <f t="shared" si="2"/>
        <v>-1502.655</v>
      </c>
      <c r="K34" s="64">
        <f t="shared" si="3"/>
        <v>500.88499999999999</v>
      </c>
    </row>
    <row r="35" spans="1:12">
      <c r="A35" s="28" t="s">
        <v>287</v>
      </c>
      <c r="B35" s="23">
        <v>3156</v>
      </c>
      <c r="C35" s="51">
        <f>C36+C37</f>
        <v>0</v>
      </c>
      <c r="D35" s="51">
        <f>D36+D37</f>
        <v>0</v>
      </c>
      <c r="E35" s="51">
        <f>E36+E37</f>
        <v>0</v>
      </c>
      <c r="F35" s="51">
        <f>F36+F37</f>
        <v>0</v>
      </c>
      <c r="G35" s="62" t="s">
        <v>54</v>
      </c>
      <c r="H35" s="62" t="s">
        <v>54</v>
      </c>
      <c r="I35" s="51">
        <f>I36+I37</f>
        <v>0</v>
      </c>
      <c r="J35" s="96">
        <f t="shared" si="2"/>
        <v>0</v>
      </c>
      <c r="K35" s="64">
        <f t="shared" si="3"/>
        <v>0</v>
      </c>
    </row>
    <row r="36" spans="1:12" ht="25.5">
      <c r="A36" s="28" t="s">
        <v>120</v>
      </c>
      <c r="B36" s="23" t="s">
        <v>288</v>
      </c>
      <c r="C36" s="49"/>
      <c r="D36" s="49">
        <f t="shared" si="4"/>
        <v>0</v>
      </c>
      <c r="E36" s="49"/>
      <c r="F36" s="49"/>
      <c r="G36" s="62" t="s">
        <v>54</v>
      </c>
      <c r="H36" s="62" t="s">
        <v>54</v>
      </c>
      <c r="I36" s="96"/>
      <c r="J36" s="96">
        <f t="shared" si="2"/>
        <v>0</v>
      </c>
      <c r="K36" s="64">
        <f t="shared" si="3"/>
        <v>0</v>
      </c>
    </row>
    <row r="37" spans="1:12" ht="63.75">
      <c r="A37" s="28" t="s">
        <v>126</v>
      </c>
      <c r="B37" s="23" t="s">
        <v>289</v>
      </c>
      <c r="C37" s="49"/>
      <c r="D37" s="49">
        <f t="shared" ref="D37" si="10">F37</f>
        <v>0</v>
      </c>
      <c r="E37" s="49"/>
      <c r="F37" s="49"/>
      <c r="G37" s="62" t="s">
        <v>54</v>
      </c>
      <c r="H37" s="62" t="s">
        <v>54</v>
      </c>
      <c r="I37" s="96"/>
      <c r="J37" s="96">
        <f t="shared" si="2"/>
        <v>0</v>
      </c>
      <c r="K37" s="64">
        <f t="shared" si="3"/>
        <v>0</v>
      </c>
    </row>
    <row r="38" spans="1:12">
      <c r="A38" s="28" t="s">
        <v>290</v>
      </c>
      <c r="B38" s="23">
        <v>3157</v>
      </c>
      <c r="C38" s="49">
        <f t="shared" ref="C38:F38" si="11">SUM(C39:C41)</f>
        <v>-1019.33</v>
      </c>
      <c r="D38" s="49">
        <f t="shared" si="11"/>
        <v>-2203.2200000000003</v>
      </c>
      <c r="E38" s="49">
        <f>SUM(E39:E41)</f>
        <v>-2619.19</v>
      </c>
      <c r="F38" s="49">
        <f t="shared" si="11"/>
        <v>-2203.2200000000003</v>
      </c>
      <c r="G38" s="62">
        <f t="shared" ref="G38:G50" si="12">F38-E38</f>
        <v>415.9699999999998</v>
      </c>
      <c r="H38" s="62">
        <f t="shared" ref="H38:H46" si="13">F38/E38*100</f>
        <v>84.118372473932794</v>
      </c>
      <c r="I38" s="49">
        <f>SUM(I39:I41)</f>
        <v>-2619.19</v>
      </c>
      <c r="J38" s="96">
        <f t="shared" si="2"/>
        <v>-1964.3924999999999</v>
      </c>
      <c r="K38" s="64">
        <f t="shared" si="3"/>
        <v>654.79750000000013</v>
      </c>
      <c r="L38" s="4">
        <f>-654.84-654.78-654.78</f>
        <v>-1964.3999999999999</v>
      </c>
    </row>
    <row r="39" spans="1:12" ht="25.5">
      <c r="A39" s="55" t="s">
        <v>462</v>
      </c>
      <c r="B39" s="24" t="s">
        <v>459</v>
      </c>
      <c r="C39" s="49">
        <v>-952.99</v>
      </c>
      <c r="D39" s="49">
        <f t="shared" ref="D39:D42" si="14">F39</f>
        <v>-2061.38</v>
      </c>
      <c r="E39" s="49">
        <v>-2448.77</v>
      </c>
      <c r="F39" s="49">
        <f>табл.2!F40*(-1)</f>
        <v>-2061.38</v>
      </c>
      <c r="G39" s="62">
        <f t="shared" si="12"/>
        <v>387.38999999999987</v>
      </c>
      <c r="H39" s="62">
        <f t="shared" si="13"/>
        <v>84.180221090588333</v>
      </c>
      <c r="I39" s="96">
        <v>-2448.77</v>
      </c>
      <c r="J39" s="96">
        <f t="shared" si="2"/>
        <v>-1836.5774999999999</v>
      </c>
      <c r="K39" s="64">
        <f t="shared" si="3"/>
        <v>612.19250000000011</v>
      </c>
    </row>
    <row r="40" spans="1:12">
      <c r="A40" s="55" t="s">
        <v>463</v>
      </c>
      <c r="B40" s="24" t="s">
        <v>460</v>
      </c>
      <c r="C40" s="49">
        <v>-62.52</v>
      </c>
      <c r="D40" s="49">
        <f t="shared" si="14"/>
        <v>-138.84</v>
      </c>
      <c r="E40" s="49">
        <v>-166.96</v>
      </c>
      <c r="F40" s="49">
        <f>табл.2!F31*(-1)</f>
        <v>-138.84</v>
      </c>
      <c r="G40" s="62">
        <f t="shared" si="12"/>
        <v>28.120000000000005</v>
      </c>
      <c r="H40" s="62">
        <f t="shared" si="13"/>
        <v>83.157642549113547</v>
      </c>
      <c r="I40" s="96">
        <v>-166.96</v>
      </c>
      <c r="J40" s="96">
        <f t="shared" si="2"/>
        <v>-125.22</v>
      </c>
      <c r="K40" s="64">
        <f t="shared" si="3"/>
        <v>41.740000000000009</v>
      </c>
    </row>
    <row r="41" spans="1:12">
      <c r="A41" s="55" t="s">
        <v>464</v>
      </c>
      <c r="B41" s="24" t="s">
        <v>461</v>
      </c>
      <c r="C41" s="49">
        <v>-3.82</v>
      </c>
      <c r="D41" s="49">
        <f t="shared" si="14"/>
        <v>-3</v>
      </c>
      <c r="E41" s="49">
        <v>-3.46</v>
      </c>
      <c r="F41" s="49">
        <f>табл.1!F50</f>
        <v>-3</v>
      </c>
      <c r="G41" s="62">
        <f t="shared" si="12"/>
        <v>0.45999999999999996</v>
      </c>
      <c r="H41" s="62">
        <f t="shared" si="13"/>
        <v>86.705202312138724</v>
      </c>
      <c r="I41" s="96">
        <v>-3.46</v>
      </c>
      <c r="J41" s="96">
        <f t="shared" si="2"/>
        <v>-2.5949999999999998</v>
      </c>
      <c r="K41" s="64">
        <f t="shared" si="3"/>
        <v>0.86500000000000021</v>
      </c>
    </row>
    <row r="42" spans="1:12">
      <c r="A42" s="28" t="s">
        <v>291</v>
      </c>
      <c r="B42" s="23">
        <v>3160</v>
      </c>
      <c r="C42" s="49"/>
      <c r="D42" s="49">
        <f t="shared" si="14"/>
        <v>0</v>
      </c>
      <c r="E42" s="49"/>
      <c r="F42" s="49"/>
      <c r="G42" s="62" t="s">
        <v>54</v>
      </c>
      <c r="H42" s="62" t="s">
        <v>54</v>
      </c>
      <c r="I42" s="96"/>
      <c r="J42" s="96">
        <f t="shared" si="2"/>
        <v>0</v>
      </c>
      <c r="K42" s="64">
        <f t="shared" si="3"/>
        <v>0</v>
      </c>
    </row>
    <row r="43" spans="1:12">
      <c r="A43" s="28" t="s">
        <v>292</v>
      </c>
      <c r="B43" s="23">
        <v>3170</v>
      </c>
      <c r="C43" s="49">
        <f>SUM(C44:C49)</f>
        <v>-64.099999999999994</v>
      </c>
      <c r="D43" s="49">
        <f t="shared" ref="D43:F43" si="15">SUM(D44:D49)</f>
        <v>-203.42</v>
      </c>
      <c r="E43" s="49">
        <f t="shared" si="15"/>
        <v>-148.96</v>
      </c>
      <c r="F43" s="49">
        <f t="shared" si="15"/>
        <v>-203.42</v>
      </c>
      <c r="G43" s="62">
        <f t="shared" si="12"/>
        <v>-54.45999999999998</v>
      </c>
      <c r="H43" s="62">
        <f t="shared" si="13"/>
        <v>136.56015037593983</v>
      </c>
      <c r="I43" s="49">
        <f>SUM(I44:I46)</f>
        <v>-148.96</v>
      </c>
      <c r="J43" s="96">
        <f t="shared" si="2"/>
        <v>-111.72</v>
      </c>
      <c r="K43" s="64">
        <f t="shared" si="3"/>
        <v>37.240000000000009</v>
      </c>
      <c r="L43" s="4">
        <f>-37.24-37.24-37.24</f>
        <v>-111.72</v>
      </c>
    </row>
    <row r="44" spans="1:12">
      <c r="A44" s="56" t="s">
        <v>206</v>
      </c>
      <c r="B44" s="24" t="s">
        <v>465</v>
      </c>
      <c r="C44" s="49">
        <v>-30.27</v>
      </c>
      <c r="D44" s="49">
        <f t="shared" ref="D44:D46" si="16">F44</f>
        <v>-36.99</v>
      </c>
      <c r="E44" s="49">
        <v>-52.56</v>
      </c>
      <c r="F44" s="49">
        <f>табл.1!F29</f>
        <v>-36.99</v>
      </c>
      <c r="G44" s="62">
        <f t="shared" si="12"/>
        <v>15.57</v>
      </c>
      <c r="H44" s="62">
        <f t="shared" si="13"/>
        <v>70.376712328767127</v>
      </c>
      <c r="I44" s="96">
        <v>-52.56</v>
      </c>
      <c r="J44" s="96">
        <f t="shared" si="2"/>
        <v>-39.42</v>
      </c>
      <c r="K44" s="64">
        <f t="shared" si="3"/>
        <v>13.14</v>
      </c>
    </row>
    <row r="45" spans="1:12" ht="25.5">
      <c r="A45" s="56" t="s">
        <v>219</v>
      </c>
      <c r="B45" s="24" t="s">
        <v>466</v>
      </c>
      <c r="C45" s="49">
        <v>-6.53</v>
      </c>
      <c r="D45" s="49">
        <f t="shared" si="16"/>
        <v>-14.97</v>
      </c>
      <c r="E45" s="49">
        <v>-6.4</v>
      </c>
      <c r="F45" s="49">
        <f>табл.1!F42</f>
        <v>-14.97</v>
      </c>
      <c r="G45" s="62">
        <f t="shared" si="12"/>
        <v>-8.57</v>
      </c>
      <c r="H45" s="62">
        <f t="shared" si="13"/>
        <v>233.90624999999997</v>
      </c>
      <c r="I45" s="96">
        <v>-6.4</v>
      </c>
      <c r="J45" s="96">
        <f t="shared" si="2"/>
        <v>-4.8000000000000007</v>
      </c>
      <c r="K45" s="64">
        <f t="shared" si="3"/>
        <v>1.5999999999999996</v>
      </c>
    </row>
    <row r="46" spans="1:12">
      <c r="A46" s="57" t="s">
        <v>468</v>
      </c>
      <c r="B46" s="24" t="s">
        <v>467</v>
      </c>
      <c r="C46" s="49">
        <v>-27.3</v>
      </c>
      <c r="D46" s="49">
        <f t="shared" si="16"/>
        <v>-61.97</v>
      </c>
      <c r="E46" s="49">
        <v>-90</v>
      </c>
      <c r="F46" s="49">
        <f>табл.1!F47</f>
        <v>-61.97</v>
      </c>
      <c r="G46" s="62">
        <f t="shared" si="12"/>
        <v>28.03</v>
      </c>
      <c r="H46" s="62">
        <f t="shared" si="13"/>
        <v>68.855555555555554</v>
      </c>
      <c r="I46" s="96">
        <v>-90</v>
      </c>
      <c r="J46" s="96">
        <f t="shared" si="2"/>
        <v>-67.5</v>
      </c>
      <c r="K46" s="64">
        <f t="shared" si="3"/>
        <v>22.5</v>
      </c>
    </row>
    <row r="47" spans="1:12">
      <c r="A47" s="59" t="s">
        <v>508</v>
      </c>
      <c r="B47" s="104" t="s">
        <v>511</v>
      </c>
      <c r="C47" s="49">
        <f>табл.1!C52</f>
        <v>0</v>
      </c>
      <c r="D47" s="49">
        <f>табл.1!D52</f>
        <v>-65.45</v>
      </c>
      <c r="E47" s="49">
        <f>табл.1!E52</f>
        <v>0</v>
      </c>
      <c r="F47" s="49">
        <f>табл.1!F52</f>
        <v>-65.45</v>
      </c>
      <c r="G47" s="105">
        <f t="shared" ref="G47:G48" si="17">F47-E47</f>
        <v>-65.45</v>
      </c>
      <c r="H47" s="105" t="e">
        <f t="shared" ref="H47:H48" si="18">F47/E47*100</f>
        <v>#DIV/0!</v>
      </c>
      <c r="I47" s="96"/>
      <c r="J47" s="96">
        <f t="shared" si="2"/>
        <v>0</v>
      </c>
      <c r="K47" s="64"/>
    </row>
    <row r="48" spans="1:12">
      <c r="A48" s="59" t="s">
        <v>510</v>
      </c>
      <c r="B48" s="104" t="s">
        <v>512</v>
      </c>
      <c r="C48" s="49">
        <f>табл.1!C53</f>
        <v>0</v>
      </c>
      <c r="D48" s="49">
        <f>табл.1!D53</f>
        <v>-0.1</v>
      </c>
      <c r="E48" s="49">
        <f>табл.1!E53</f>
        <v>0</v>
      </c>
      <c r="F48" s="49">
        <f>табл.1!F53</f>
        <v>-0.1</v>
      </c>
      <c r="G48" s="105">
        <f t="shared" si="17"/>
        <v>-0.1</v>
      </c>
      <c r="H48" s="105" t="e">
        <f t="shared" si="18"/>
        <v>#DIV/0!</v>
      </c>
      <c r="I48" s="96"/>
      <c r="J48" s="96">
        <f t="shared" si="2"/>
        <v>0</v>
      </c>
      <c r="K48" s="64"/>
    </row>
    <row r="49" spans="1:11">
      <c r="A49" s="59" t="str">
        <f>табл.1!A54</f>
        <v>повернення коштів в бюджет</v>
      </c>
      <c r="B49" s="113" t="s">
        <v>537</v>
      </c>
      <c r="C49" s="49">
        <f>табл.1!C54</f>
        <v>0</v>
      </c>
      <c r="D49" s="49">
        <f>табл.1!D54</f>
        <v>-23.94</v>
      </c>
      <c r="E49" s="49">
        <f>табл.1!E54</f>
        <v>0</v>
      </c>
      <c r="F49" s="49">
        <f>табл.1!F54</f>
        <v>-23.94</v>
      </c>
      <c r="G49" s="115">
        <f t="shared" ref="G49" si="19">F49-E49</f>
        <v>-23.94</v>
      </c>
      <c r="H49" s="115" t="e">
        <f t="shared" ref="H49" si="20">F49/E49*100</f>
        <v>#DIV/0!</v>
      </c>
      <c r="I49" s="96"/>
      <c r="J49" s="96"/>
      <c r="K49" s="64"/>
    </row>
    <row r="50" spans="1:11">
      <c r="A50" s="30" t="s">
        <v>132</v>
      </c>
      <c r="B50" s="31">
        <v>3195</v>
      </c>
      <c r="C50" s="63">
        <f>C8+C21</f>
        <v>1446.4799999999987</v>
      </c>
      <c r="D50" s="63">
        <f>D8+D21</f>
        <v>-406.06999999999971</v>
      </c>
      <c r="E50" s="63">
        <f>E8+E21</f>
        <v>0</v>
      </c>
      <c r="F50" s="63">
        <f>F8+F21</f>
        <v>-406.06999999999971</v>
      </c>
      <c r="G50" s="62">
        <f t="shared" si="12"/>
        <v>-406.06999999999971</v>
      </c>
      <c r="H50" s="70" t="s">
        <v>54</v>
      </c>
      <c r="I50" s="94">
        <f>I8+I21</f>
        <v>0</v>
      </c>
      <c r="J50" s="96">
        <f t="shared" si="2"/>
        <v>0</v>
      </c>
      <c r="K50" s="64">
        <f t="shared" si="3"/>
        <v>0</v>
      </c>
    </row>
    <row r="51" spans="1:11">
      <c r="A51" s="35" t="s">
        <v>293</v>
      </c>
      <c r="B51" s="137" t="s">
        <v>91</v>
      </c>
      <c r="C51" s="137"/>
      <c r="D51" s="137"/>
      <c r="E51" s="137"/>
      <c r="F51" s="137"/>
      <c r="G51" s="137"/>
      <c r="H51" s="137"/>
      <c r="I51" s="96"/>
      <c r="J51" s="96">
        <f t="shared" si="2"/>
        <v>0</v>
      </c>
      <c r="K51" s="64">
        <f t="shared" si="3"/>
        <v>0</v>
      </c>
    </row>
    <row r="52" spans="1:11" ht="25.5">
      <c r="A52" s="30" t="s">
        <v>294</v>
      </c>
      <c r="B52" s="31">
        <v>3200</v>
      </c>
      <c r="C52" s="33" t="s">
        <v>54</v>
      </c>
      <c r="D52" s="33" t="s">
        <v>54</v>
      </c>
      <c r="E52" s="33" t="s">
        <v>54</v>
      </c>
      <c r="F52" s="33" t="s">
        <v>54</v>
      </c>
      <c r="G52" s="23" t="s">
        <v>54</v>
      </c>
      <c r="H52" s="23" t="s">
        <v>54</v>
      </c>
      <c r="I52" s="96"/>
      <c r="J52" s="96">
        <f t="shared" si="2"/>
        <v>0</v>
      </c>
      <c r="K52" s="64" t="e">
        <f t="shared" si="3"/>
        <v>#VALUE!</v>
      </c>
    </row>
    <row r="53" spans="1:11" ht="25.5">
      <c r="A53" s="28" t="s">
        <v>295</v>
      </c>
      <c r="B53" s="23">
        <v>3210</v>
      </c>
      <c r="C53" s="23" t="s">
        <v>91</v>
      </c>
      <c r="D53" s="23" t="s">
        <v>91</v>
      </c>
      <c r="E53" s="23" t="s">
        <v>91</v>
      </c>
      <c r="F53" s="23" t="s">
        <v>91</v>
      </c>
      <c r="G53" s="23" t="s">
        <v>54</v>
      </c>
      <c r="H53" s="23" t="s">
        <v>54</v>
      </c>
      <c r="I53" s="96"/>
      <c r="J53" s="96">
        <f t="shared" si="2"/>
        <v>0</v>
      </c>
      <c r="K53" s="64" t="e">
        <f t="shared" si="3"/>
        <v>#VALUE!</v>
      </c>
    </row>
    <row r="54" spans="1:11">
      <c r="A54" s="28" t="s">
        <v>296</v>
      </c>
      <c r="B54" s="23">
        <v>3215</v>
      </c>
      <c r="C54" s="23" t="s">
        <v>91</v>
      </c>
      <c r="D54" s="23" t="s">
        <v>91</v>
      </c>
      <c r="E54" s="23" t="s">
        <v>91</v>
      </c>
      <c r="F54" s="23" t="s">
        <v>91</v>
      </c>
      <c r="G54" s="31" t="s">
        <v>54</v>
      </c>
      <c r="H54" s="31" t="s">
        <v>54</v>
      </c>
      <c r="I54" s="96"/>
      <c r="J54" s="96">
        <f t="shared" si="2"/>
        <v>0</v>
      </c>
      <c r="K54" s="64" t="e">
        <f t="shared" si="3"/>
        <v>#VALUE!</v>
      </c>
    </row>
    <row r="55" spans="1:11">
      <c r="A55" s="28" t="s">
        <v>297</v>
      </c>
      <c r="B55" s="23">
        <v>3220</v>
      </c>
      <c r="C55" s="23" t="s">
        <v>91</v>
      </c>
      <c r="D55" s="23" t="s">
        <v>91</v>
      </c>
      <c r="E55" s="23" t="s">
        <v>91</v>
      </c>
      <c r="F55" s="23" t="s">
        <v>91</v>
      </c>
      <c r="G55" s="23" t="s">
        <v>54</v>
      </c>
      <c r="H55" s="23" t="s">
        <v>54</v>
      </c>
      <c r="I55" s="96"/>
      <c r="J55" s="96">
        <f t="shared" si="2"/>
        <v>0</v>
      </c>
      <c r="K55" s="64" t="e">
        <f t="shared" si="3"/>
        <v>#VALUE!</v>
      </c>
    </row>
    <row r="56" spans="1:11">
      <c r="A56" s="28" t="s">
        <v>298</v>
      </c>
      <c r="B56" s="23">
        <v>3225</v>
      </c>
      <c r="C56" s="23" t="s">
        <v>91</v>
      </c>
      <c r="D56" s="23" t="s">
        <v>91</v>
      </c>
      <c r="E56" s="23" t="s">
        <v>91</v>
      </c>
      <c r="F56" s="23" t="s">
        <v>91</v>
      </c>
      <c r="G56" s="23" t="s">
        <v>54</v>
      </c>
      <c r="H56" s="23" t="s">
        <v>54</v>
      </c>
      <c r="I56" s="96"/>
      <c r="J56" s="96">
        <f t="shared" si="2"/>
        <v>0</v>
      </c>
      <c r="K56" s="64" t="e">
        <f t="shared" si="3"/>
        <v>#VALUE!</v>
      </c>
    </row>
    <row r="57" spans="1:11">
      <c r="A57" s="28" t="s">
        <v>299</v>
      </c>
      <c r="B57" s="23">
        <v>3230</v>
      </c>
      <c r="C57" s="23" t="s">
        <v>91</v>
      </c>
      <c r="D57" s="23" t="s">
        <v>91</v>
      </c>
      <c r="E57" s="23" t="s">
        <v>91</v>
      </c>
      <c r="F57" s="23" t="s">
        <v>91</v>
      </c>
      <c r="G57" s="23" t="s">
        <v>54</v>
      </c>
      <c r="H57" s="23" t="s">
        <v>54</v>
      </c>
      <c r="I57" s="96"/>
      <c r="J57" s="96">
        <f t="shared" si="2"/>
        <v>0</v>
      </c>
      <c r="K57" s="64" t="e">
        <f t="shared" si="3"/>
        <v>#VALUE!</v>
      </c>
    </row>
    <row r="58" spans="1:11">
      <c r="A58" s="28" t="s">
        <v>300</v>
      </c>
      <c r="B58" s="23">
        <v>3235</v>
      </c>
      <c r="C58" s="23" t="s">
        <v>91</v>
      </c>
      <c r="D58" s="23" t="s">
        <v>91</v>
      </c>
      <c r="E58" s="23" t="s">
        <v>91</v>
      </c>
      <c r="F58" s="23" t="s">
        <v>91</v>
      </c>
      <c r="G58" s="23" t="s">
        <v>54</v>
      </c>
      <c r="H58" s="23" t="s">
        <v>54</v>
      </c>
      <c r="I58" s="96"/>
      <c r="J58" s="96">
        <f t="shared" si="2"/>
        <v>0</v>
      </c>
      <c r="K58" s="64" t="e">
        <f t="shared" si="3"/>
        <v>#VALUE!</v>
      </c>
    </row>
    <row r="59" spans="1:11">
      <c r="A59" s="28" t="s">
        <v>279</v>
      </c>
      <c r="B59" s="23">
        <v>3240</v>
      </c>
      <c r="C59" s="23" t="s">
        <v>91</v>
      </c>
      <c r="D59" s="23" t="s">
        <v>91</v>
      </c>
      <c r="E59" s="23" t="s">
        <v>91</v>
      </c>
      <c r="F59" s="23" t="s">
        <v>91</v>
      </c>
      <c r="G59" s="23" t="s">
        <v>54</v>
      </c>
      <c r="H59" s="23" t="s">
        <v>54</v>
      </c>
      <c r="I59" s="96"/>
      <c r="J59" s="96">
        <f t="shared" si="2"/>
        <v>0</v>
      </c>
      <c r="K59" s="64" t="e">
        <f t="shared" si="3"/>
        <v>#VALUE!</v>
      </c>
    </row>
    <row r="60" spans="1:11" ht="25.5">
      <c r="A60" s="30" t="s">
        <v>301</v>
      </c>
      <c r="B60" s="31">
        <v>3255</v>
      </c>
      <c r="C60" s="33" t="s">
        <v>54</v>
      </c>
      <c r="D60" s="33" t="s">
        <v>54</v>
      </c>
      <c r="E60" s="33" t="s">
        <v>54</v>
      </c>
      <c r="F60" s="33" t="s">
        <v>54</v>
      </c>
      <c r="G60" s="23" t="s">
        <v>54</v>
      </c>
      <c r="H60" s="23" t="s">
        <v>54</v>
      </c>
      <c r="I60" s="96"/>
      <c r="J60" s="96">
        <f t="shared" si="2"/>
        <v>0</v>
      </c>
      <c r="K60" s="64" t="e">
        <f t="shared" si="3"/>
        <v>#VALUE!</v>
      </c>
    </row>
    <row r="61" spans="1:11" ht="25.5">
      <c r="A61" s="28" t="s">
        <v>302</v>
      </c>
      <c r="B61" s="23">
        <v>3260</v>
      </c>
      <c r="C61" s="23" t="s">
        <v>229</v>
      </c>
      <c r="D61" s="23" t="s">
        <v>229</v>
      </c>
      <c r="E61" s="23" t="s">
        <v>229</v>
      </c>
      <c r="F61" s="23" t="s">
        <v>229</v>
      </c>
      <c r="G61" s="23" t="s">
        <v>54</v>
      </c>
      <c r="H61" s="23" t="s">
        <v>54</v>
      </c>
      <c r="I61" s="96"/>
      <c r="J61" s="96">
        <f t="shared" si="2"/>
        <v>0</v>
      </c>
      <c r="K61" s="64" t="e">
        <f t="shared" si="3"/>
        <v>#VALUE!</v>
      </c>
    </row>
    <row r="62" spans="1:11">
      <c r="A62" s="28" t="s">
        <v>303</v>
      </c>
      <c r="B62" s="23">
        <v>3265</v>
      </c>
      <c r="C62" s="23" t="s">
        <v>229</v>
      </c>
      <c r="D62" s="23" t="s">
        <v>229</v>
      </c>
      <c r="E62" s="23" t="s">
        <v>229</v>
      </c>
      <c r="F62" s="23" t="s">
        <v>229</v>
      </c>
      <c r="G62" s="31" t="s">
        <v>54</v>
      </c>
      <c r="H62" s="31" t="s">
        <v>54</v>
      </c>
      <c r="I62" s="96"/>
      <c r="J62" s="96">
        <f t="shared" si="2"/>
        <v>0</v>
      </c>
      <c r="K62" s="64" t="e">
        <f t="shared" si="3"/>
        <v>#VALUE!</v>
      </c>
    </row>
    <row r="63" spans="1:11" ht="25.5">
      <c r="A63" s="28" t="s">
        <v>304</v>
      </c>
      <c r="B63" s="23">
        <v>3270</v>
      </c>
      <c r="C63" s="23" t="s">
        <v>229</v>
      </c>
      <c r="D63" s="23" t="s">
        <v>229</v>
      </c>
      <c r="E63" s="23" t="s">
        <v>229</v>
      </c>
      <c r="F63" s="23" t="s">
        <v>229</v>
      </c>
      <c r="G63" s="23" t="s">
        <v>54</v>
      </c>
      <c r="H63" s="23" t="s">
        <v>54</v>
      </c>
      <c r="I63" s="96"/>
      <c r="J63" s="96">
        <f t="shared" si="2"/>
        <v>0</v>
      </c>
      <c r="K63" s="64" t="e">
        <f t="shared" si="3"/>
        <v>#VALUE!</v>
      </c>
    </row>
    <row r="64" spans="1:11" ht="25.5">
      <c r="A64" s="28" t="s">
        <v>305</v>
      </c>
      <c r="B64" s="23" t="s">
        <v>306</v>
      </c>
      <c r="C64" s="23" t="s">
        <v>229</v>
      </c>
      <c r="D64" s="23" t="s">
        <v>229</v>
      </c>
      <c r="E64" s="23" t="s">
        <v>229</v>
      </c>
      <c r="F64" s="23" t="s">
        <v>229</v>
      </c>
      <c r="G64" s="23" t="s">
        <v>54</v>
      </c>
      <c r="H64" s="23" t="s">
        <v>54</v>
      </c>
      <c r="I64" s="96"/>
      <c r="J64" s="96">
        <f t="shared" si="2"/>
        <v>0</v>
      </c>
      <c r="K64" s="64" t="e">
        <f t="shared" si="3"/>
        <v>#VALUE!</v>
      </c>
    </row>
    <row r="65" spans="1:11">
      <c r="A65" s="28" t="s">
        <v>307</v>
      </c>
      <c r="B65" s="23" t="s">
        <v>308</v>
      </c>
      <c r="C65" s="23" t="s">
        <v>229</v>
      </c>
      <c r="D65" s="23" t="s">
        <v>229</v>
      </c>
      <c r="E65" s="23" t="s">
        <v>229</v>
      </c>
      <c r="F65" s="23" t="s">
        <v>229</v>
      </c>
      <c r="G65" s="23" t="s">
        <v>54</v>
      </c>
      <c r="H65" s="23" t="s">
        <v>54</v>
      </c>
      <c r="I65" s="96"/>
      <c r="J65" s="96">
        <f t="shared" si="2"/>
        <v>0</v>
      </c>
      <c r="K65" s="64" t="e">
        <f t="shared" si="3"/>
        <v>#VALUE!</v>
      </c>
    </row>
    <row r="66" spans="1:11" ht="25.5">
      <c r="A66" s="28" t="s">
        <v>309</v>
      </c>
      <c r="B66" s="23" t="s">
        <v>310</v>
      </c>
      <c r="C66" s="23" t="s">
        <v>229</v>
      </c>
      <c r="D66" s="23" t="s">
        <v>229</v>
      </c>
      <c r="E66" s="23" t="s">
        <v>229</v>
      </c>
      <c r="F66" s="23" t="s">
        <v>229</v>
      </c>
      <c r="G66" s="23" t="s">
        <v>54</v>
      </c>
      <c r="H66" s="23" t="s">
        <v>54</v>
      </c>
      <c r="I66" s="96"/>
      <c r="J66" s="96">
        <f t="shared" si="2"/>
        <v>0</v>
      </c>
      <c r="K66" s="64" t="e">
        <f t="shared" si="3"/>
        <v>#VALUE!</v>
      </c>
    </row>
    <row r="67" spans="1:11">
      <c r="A67" s="28" t="s">
        <v>311</v>
      </c>
      <c r="B67" s="23">
        <v>3280</v>
      </c>
      <c r="C67" s="23" t="s">
        <v>229</v>
      </c>
      <c r="D67" s="23" t="s">
        <v>229</v>
      </c>
      <c r="E67" s="23" t="s">
        <v>229</v>
      </c>
      <c r="F67" s="23" t="s">
        <v>229</v>
      </c>
      <c r="G67" s="23" t="s">
        <v>54</v>
      </c>
      <c r="H67" s="23" t="s">
        <v>54</v>
      </c>
      <c r="I67" s="96"/>
      <c r="J67" s="96">
        <f t="shared" si="2"/>
        <v>0</v>
      </c>
      <c r="K67" s="64" t="e">
        <f t="shared" si="3"/>
        <v>#VALUE!</v>
      </c>
    </row>
    <row r="68" spans="1:11">
      <c r="A68" s="28" t="s">
        <v>290</v>
      </c>
      <c r="B68" s="23">
        <v>3290</v>
      </c>
      <c r="C68" s="23" t="s">
        <v>229</v>
      </c>
      <c r="D68" s="23" t="s">
        <v>229</v>
      </c>
      <c r="E68" s="23" t="s">
        <v>229</v>
      </c>
      <c r="F68" s="23" t="s">
        <v>229</v>
      </c>
      <c r="G68" s="23" t="s">
        <v>54</v>
      </c>
      <c r="H68" s="23" t="s">
        <v>54</v>
      </c>
      <c r="I68" s="96"/>
      <c r="J68" s="96">
        <f t="shared" si="2"/>
        <v>0</v>
      </c>
      <c r="K68" s="64" t="e">
        <f t="shared" si="3"/>
        <v>#VALUE!</v>
      </c>
    </row>
    <row r="69" spans="1:11">
      <c r="A69" s="30" t="s">
        <v>133</v>
      </c>
      <c r="B69" s="31">
        <v>3295</v>
      </c>
      <c r="C69" s="33" t="s">
        <v>54</v>
      </c>
      <c r="D69" s="33" t="s">
        <v>54</v>
      </c>
      <c r="E69" s="33" t="s">
        <v>54</v>
      </c>
      <c r="F69" s="33" t="s">
        <v>54</v>
      </c>
      <c r="G69" s="23" t="s">
        <v>54</v>
      </c>
      <c r="H69" s="23" t="s">
        <v>54</v>
      </c>
      <c r="I69" s="96">
        <v>1</v>
      </c>
      <c r="J69" s="96">
        <f t="shared" si="2"/>
        <v>0.75</v>
      </c>
      <c r="K69" s="64" t="e">
        <f t="shared" si="3"/>
        <v>#VALUE!</v>
      </c>
    </row>
    <row r="70" spans="1:11">
      <c r="A70" s="35" t="s">
        <v>312</v>
      </c>
      <c r="B70" s="137" t="s">
        <v>91</v>
      </c>
      <c r="C70" s="137"/>
      <c r="D70" s="137"/>
      <c r="E70" s="137"/>
      <c r="F70" s="137"/>
      <c r="G70" s="137"/>
      <c r="H70" s="137"/>
      <c r="I70" s="96"/>
      <c r="J70" s="96">
        <f t="shared" si="2"/>
        <v>0</v>
      </c>
      <c r="K70" s="64">
        <f t="shared" si="3"/>
        <v>0</v>
      </c>
    </row>
    <row r="71" spans="1:11" ht="25.5">
      <c r="A71" s="30" t="s">
        <v>313</v>
      </c>
      <c r="B71" s="31">
        <v>3300</v>
      </c>
      <c r="C71" s="33" t="s">
        <v>54</v>
      </c>
      <c r="D71" s="33" t="s">
        <v>54</v>
      </c>
      <c r="E71" s="33" t="s">
        <v>54</v>
      </c>
      <c r="F71" s="33" t="s">
        <v>54</v>
      </c>
      <c r="G71" s="23" t="s">
        <v>54</v>
      </c>
      <c r="H71" s="23" t="s">
        <v>54</v>
      </c>
      <c r="I71" s="96"/>
      <c r="J71" s="96">
        <f t="shared" si="2"/>
        <v>0</v>
      </c>
      <c r="K71" s="64" t="e">
        <f t="shared" si="3"/>
        <v>#VALUE!</v>
      </c>
    </row>
    <row r="72" spans="1:11">
      <c r="A72" s="28" t="s">
        <v>314</v>
      </c>
      <c r="B72" s="23">
        <v>3305</v>
      </c>
      <c r="C72" s="23" t="s">
        <v>91</v>
      </c>
      <c r="D72" s="23" t="s">
        <v>91</v>
      </c>
      <c r="E72" s="23" t="s">
        <v>91</v>
      </c>
      <c r="F72" s="23" t="s">
        <v>91</v>
      </c>
      <c r="G72" s="23" t="s">
        <v>54</v>
      </c>
      <c r="H72" s="23" t="s">
        <v>54</v>
      </c>
      <c r="I72" s="96"/>
      <c r="J72" s="96">
        <f t="shared" si="2"/>
        <v>0</v>
      </c>
      <c r="K72" s="64" t="e">
        <f t="shared" si="3"/>
        <v>#VALUE!</v>
      </c>
    </row>
    <row r="73" spans="1:11" ht="25.5">
      <c r="A73" s="107" t="s">
        <v>315</v>
      </c>
      <c r="B73" s="23">
        <v>3310</v>
      </c>
      <c r="C73" s="29" t="s">
        <v>54</v>
      </c>
      <c r="D73" s="29" t="s">
        <v>54</v>
      </c>
      <c r="E73" s="29" t="s">
        <v>54</v>
      </c>
      <c r="F73" s="29" t="s">
        <v>54</v>
      </c>
      <c r="G73" s="31" t="s">
        <v>54</v>
      </c>
      <c r="H73" s="31" t="s">
        <v>54</v>
      </c>
      <c r="I73" s="96"/>
      <c r="J73" s="96">
        <f t="shared" si="2"/>
        <v>0</v>
      </c>
      <c r="K73" s="64" t="e">
        <f t="shared" si="3"/>
        <v>#VALUE!</v>
      </c>
    </row>
    <row r="74" spans="1:11">
      <c r="A74" s="28" t="s">
        <v>276</v>
      </c>
      <c r="B74" s="23">
        <v>3311</v>
      </c>
      <c r="C74" s="23" t="s">
        <v>91</v>
      </c>
      <c r="D74" s="23" t="s">
        <v>91</v>
      </c>
      <c r="E74" s="23" t="s">
        <v>91</v>
      </c>
      <c r="F74" s="23" t="s">
        <v>91</v>
      </c>
      <c r="G74" s="23" t="s">
        <v>54</v>
      </c>
      <c r="H74" s="23" t="s">
        <v>54</v>
      </c>
      <c r="I74" s="96"/>
      <c r="J74" s="96">
        <f t="shared" si="2"/>
        <v>0</v>
      </c>
      <c r="K74" s="64" t="e">
        <f t="shared" si="3"/>
        <v>#VALUE!</v>
      </c>
    </row>
    <row r="75" spans="1:11">
      <c r="A75" s="28" t="s">
        <v>277</v>
      </c>
      <c r="B75" s="23">
        <v>3312</v>
      </c>
      <c r="C75" s="23" t="s">
        <v>91</v>
      </c>
      <c r="D75" s="23" t="s">
        <v>91</v>
      </c>
      <c r="E75" s="23" t="s">
        <v>91</v>
      </c>
      <c r="F75" s="23" t="s">
        <v>91</v>
      </c>
      <c r="G75" s="23" t="s">
        <v>54</v>
      </c>
      <c r="H75" s="23" t="s">
        <v>54</v>
      </c>
      <c r="I75" s="96"/>
      <c r="J75" s="96">
        <f t="shared" si="2"/>
        <v>0</v>
      </c>
      <c r="K75" s="64" t="e">
        <f t="shared" si="3"/>
        <v>#VALUE!</v>
      </c>
    </row>
    <row r="76" spans="1:11">
      <c r="A76" s="28" t="s">
        <v>278</v>
      </c>
      <c r="B76" s="23">
        <v>3313</v>
      </c>
      <c r="C76" s="23" t="s">
        <v>91</v>
      </c>
      <c r="D76" s="23" t="s">
        <v>91</v>
      </c>
      <c r="E76" s="23" t="s">
        <v>91</v>
      </c>
      <c r="F76" s="23" t="s">
        <v>91</v>
      </c>
      <c r="G76" s="23" t="s">
        <v>54</v>
      </c>
      <c r="H76" s="23" t="s">
        <v>54</v>
      </c>
      <c r="I76" s="96"/>
      <c r="J76" s="96">
        <f t="shared" ref="J76:J91" si="21">I76/4*3</f>
        <v>0</v>
      </c>
      <c r="K76" s="64" t="e">
        <f t="shared" si="3"/>
        <v>#VALUE!</v>
      </c>
    </row>
    <row r="77" spans="1:11">
      <c r="A77" s="28" t="s">
        <v>279</v>
      </c>
      <c r="B77" s="23">
        <v>3320</v>
      </c>
      <c r="C77" s="23" t="s">
        <v>91</v>
      </c>
      <c r="D77" s="23" t="s">
        <v>91</v>
      </c>
      <c r="E77" s="23" t="s">
        <v>91</v>
      </c>
      <c r="F77" s="23" t="s">
        <v>91</v>
      </c>
      <c r="G77" s="23" t="s">
        <v>54</v>
      </c>
      <c r="H77" s="23" t="s">
        <v>54</v>
      </c>
      <c r="I77" s="96"/>
      <c r="J77" s="96">
        <f t="shared" si="21"/>
        <v>0</v>
      </c>
      <c r="K77" s="64" t="e">
        <f t="shared" si="3"/>
        <v>#VALUE!</v>
      </c>
    </row>
    <row r="78" spans="1:11" ht="25.5">
      <c r="A78" s="30" t="s">
        <v>316</v>
      </c>
      <c r="B78" s="31">
        <v>3330</v>
      </c>
      <c r="C78" s="33" t="s">
        <v>54</v>
      </c>
      <c r="D78" s="33" t="s">
        <v>54</v>
      </c>
      <c r="E78" s="33" t="s">
        <v>54</v>
      </c>
      <c r="F78" s="33" t="s">
        <v>54</v>
      </c>
      <c r="G78" s="23" t="s">
        <v>54</v>
      </c>
      <c r="H78" s="23" t="s">
        <v>54</v>
      </c>
      <c r="I78" s="96"/>
      <c r="J78" s="96">
        <f t="shared" si="21"/>
        <v>0</v>
      </c>
      <c r="K78" s="64" t="e">
        <f t="shared" ref="K78:K92" si="22">J78-E78</f>
        <v>#VALUE!</v>
      </c>
    </row>
    <row r="79" spans="1:11">
      <c r="A79" s="28" t="s">
        <v>317</v>
      </c>
      <c r="B79" s="23">
        <v>3335</v>
      </c>
      <c r="C79" s="23" t="s">
        <v>229</v>
      </c>
      <c r="D79" s="23" t="s">
        <v>229</v>
      </c>
      <c r="E79" s="23" t="s">
        <v>229</v>
      </c>
      <c r="F79" s="23" t="s">
        <v>229</v>
      </c>
      <c r="G79" s="23" t="s">
        <v>54</v>
      </c>
      <c r="H79" s="23" t="s">
        <v>54</v>
      </c>
      <c r="I79" s="96"/>
      <c r="J79" s="96">
        <f t="shared" si="21"/>
        <v>0</v>
      </c>
      <c r="K79" s="64" t="e">
        <f t="shared" si="22"/>
        <v>#VALUE!</v>
      </c>
    </row>
    <row r="80" spans="1:11" ht="25.5">
      <c r="A80" s="28" t="s">
        <v>318</v>
      </c>
      <c r="B80" s="23">
        <v>3340</v>
      </c>
      <c r="C80" s="29" t="s">
        <v>54</v>
      </c>
      <c r="D80" s="29" t="s">
        <v>54</v>
      </c>
      <c r="E80" s="29" t="s">
        <v>54</v>
      </c>
      <c r="F80" s="29" t="s">
        <v>54</v>
      </c>
      <c r="G80" s="23" t="s">
        <v>54</v>
      </c>
      <c r="H80" s="23" t="s">
        <v>54</v>
      </c>
      <c r="I80" s="96"/>
      <c r="J80" s="96">
        <f t="shared" si="21"/>
        <v>0</v>
      </c>
      <c r="K80" s="64" t="e">
        <f t="shared" si="22"/>
        <v>#VALUE!</v>
      </c>
    </row>
    <row r="81" spans="1:11">
      <c r="A81" s="28" t="s">
        <v>276</v>
      </c>
      <c r="B81" s="23">
        <v>3341</v>
      </c>
      <c r="C81" s="23" t="s">
        <v>229</v>
      </c>
      <c r="D81" s="23" t="s">
        <v>229</v>
      </c>
      <c r="E81" s="23" t="s">
        <v>229</v>
      </c>
      <c r="F81" s="23" t="s">
        <v>229</v>
      </c>
      <c r="G81" s="31" t="s">
        <v>54</v>
      </c>
      <c r="H81" s="31" t="s">
        <v>54</v>
      </c>
      <c r="I81" s="96"/>
      <c r="J81" s="96">
        <f t="shared" si="21"/>
        <v>0</v>
      </c>
      <c r="K81" s="64" t="e">
        <f t="shared" si="22"/>
        <v>#VALUE!</v>
      </c>
    </row>
    <row r="82" spans="1:11">
      <c r="A82" s="28" t="s">
        <v>277</v>
      </c>
      <c r="B82" s="23">
        <v>3342</v>
      </c>
      <c r="C82" s="23" t="s">
        <v>229</v>
      </c>
      <c r="D82" s="23" t="s">
        <v>229</v>
      </c>
      <c r="E82" s="23" t="s">
        <v>229</v>
      </c>
      <c r="F82" s="23" t="s">
        <v>229</v>
      </c>
      <c r="G82" s="23" t="s">
        <v>54</v>
      </c>
      <c r="H82" s="23" t="s">
        <v>54</v>
      </c>
      <c r="I82" s="96"/>
      <c r="J82" s="96">
        <f t="shared" si="21"/>
        <v>0</v>
      </c>
      <c r="K82" s="64" t="e">
        <f t="shared" si="22"/>
        <v>#VALUE!</v>
      </c>
    </row>
    <row r="83" spans="1:11">
      <c r="A83" s="28" t="s">
        <v>278</v>
      </c>
      <c r="B83" s="23">
        <v>3343</v>
      </c>
      <c r="C83" s="23" t="s">
        <v>229</v>
      </c>
      <c r="D83" s="23" t="s">
        <v>229</v>
      </c>
      <c r="E83" s="23" t="s">
        <v>229</v>
      </c>
      <c r="F83" s="23" t="s">
        <v>229</v>
      </c>
      <c r="G83" s="23" t="s">
        <v>54</v>
      </c>
      <c r="H83" s="23" t="s">
        <v>54</v>
      </c>
      <c r="I83" s="96"/>
      <c r="J83" s="96">
        <f t="shared" si="21"/>
        <v>0</v>
      </c>
      <c r="K83" s="64" t="e">
        <f t="shared" si="22"/>
        <v>#VALUE!</v>
      </c>
    </row>
    <row r="84" spans="1:11">
      <c r="A84" s="28" t="s">
        <v>319</v>
      </c>
      <c r="B84" s="23">
        <v>3350</v>
      </c>
      <c r="C84" s="23" t="s">
        <v>229</v>
      </c>
      <c r="D84" s="23" t="s">
        <v>229</v>
      </c>
      <c r="E84" s="23" t="s">
        <v>229</v>
      </c>
      <c r="F84" s="23" t="s">
        <v>229</v>
      </c>
      <c r="G84" s="23" t="s">
        <v>54</v>
      </c>
      <c r="H84" s="23" t="s">
        <v>54</v>
      </c>
      <c r="I84" s="96"/>
      <c r="J84" s="96">
        <f t="shared" si="21"/>
        <v>0</v>
      </c>
      <c r="K84" s="64" t="e">
        <f t="shared" si="22"/>
        <v>#VALUE!</v>
      </c>
    </row>
    <row r="85" spans="1:11">
      <c r="A85" s="28" t="s">
        <v>320</v>
      </c>
      <c r="B85" s="23">
        <v>3360</v>
      </c>
      <c r="C85" s="23" t="s">
        <v>229</v>
      </c>
      <c r="D85" s="23" t="s">
        <v>229</v>
      </c>
      <c r="E85" s="23" t="s">
        <v>229</v>
      </c>
      <c r="F85" s="23" t="s">
        <v>229</v>
      </c>
      <c r="G85" s="23" t="s">
        <v>54</v>
      </c>
      <c r="H85" s="23" t="s">
        <v>54</v>
      </c>
      <c r="I85" s="96"/>
      <c r="J85" s="96">
        <f t="shared" si="21"/>
        <v>0</v>
      </c>
      <c r="K85" s="64" t="e">
        <f t="shared" si="22"/>
        <v>#VALUE!</v>
      </c>
    </row>
    <row r="86" spans="1:11" ht="25.5">
      <c r="A86" s="28" t="s">
        <v>321</v>
      </c>
      <c r="B86" s="23">
        <v>3370</v>
      </c>
      <c r="C86" s="23" t="s">
        <v>229</v>
      </c>
      <c r="D86" s="23" t="s">
        <v>229</v>
      </c>
      <c r="E86" s="23" t="s">
        <v>229</v>
      </c>
      <c r="F86" s="23" t="s">
        <v>229</v>
      </c>
      <c r="G86" s="23" t="s">
        <v>54</v>
      </c>
      <c r="H86" s="23" t="s">
        <v>54</v>
      </c>
      <c r="I86" s="96"/>
      <c r="J86" s="96">
        <f t="shared" si="21"/>
        <v>0</v>
      </c>
      <c r="K86" s="64" t="e">
        <f t="shared" si="22"/>
        <v>#VALUE!</v>
      </c>
    </row>
    <row r="87" spans="1:11">
      <c r="A87" s="28" t="s">
        <v>290</v>
      </c>
      <c r="B87" s="23">
        <v>3380</v>
      </c>
      <c r="C87" s="23" t="s">
        <v>229</v>
      </c>
      <c r="D87" s="23" t="s">
        <v>229</v>
      </c>
      <c r="E87" s="23" t="s">
        <v>229</v>
      </c>
      <c r="F87" s="23" t="s">
        <v>229</v>
      </c>
      <c r="G87" s="31" t="s">
        <v>54</v>
      </c>
      <c r="H87" s="31" t="s">
        <v>54</v>
      </c>
      <c r="I87" s="96"/>
      <c r="J87" s="96">
        <f t="shared" si="21"/>
        <v>0</v>
      </c>
      <c r="K87" s="64" t="e">
        <f t="shared" si="22"/>
        <v>#VALUE!</v>
      </c>
    </row>
    <row r="88" spans="1:11">
      <c r="A88" s="30" t="s">
        <v>322</v>
      </c>
      <c r="B88" s="31">
        <v>3395</v>
      </c>
      <c r="C88" s="33" t="s">
        <v>54</v>
      </c>
      <c r="D88" s="33" t="s">
        <v>54</v>
      </c>
      <c r="E88" s="33" t="s">
        <v>54</v>
      </c>
      <c r="F88" s="33" t="s">
        <v>54</v>
      </c>
      <c r="G88" s="23" t="s">
        <v>54</v>
      </c>
      <c r="H88" s="23" t="s">
        <v>54</v>
      </c>
      <c r="I88" s="96"/>
      <c r="J88" s="96">
        <f t="shared" si="21"/>
        <v>0</v>
      </c>
      <c r="K88" s="64" t="e">
        <f t="shared" si="22"/>
        <v>#VALUE!</v>
      </c>
    </row>
    <row r="89" spans="1:11">
      <c r="A89" s="35" t="s">
        <v>323</v>
      </c>
      <c r="B89" s="31">
        <v>3400</v>
      </c>
      <c r="C89" s="63">
        <f>C50</f>
        <v>1446.4799999999987</v>
      </c>
      <c r="D89" s="63">
        <f>D50</f>
        <v>-406.06999999999971</v>
      </c>
      <c r="E89" s="63">
        <f>E50</f>
        <v>0</v>
      </c>
      <c r="F89" s="63">
        <f>F50</f>
        <v>-406.06999999999971</v>
      </c>
      <c r="G89" s="62">
        <f t="shared" ref="G89" si="23">F89-E89</f>
        <v>-406.06999999999971</v>
      </c>
      <c r="H89" s="70" t="s">
        <v>54</v>
      </c>
      <c r="I89" s="94">
        <f>I50</f>
        <v>0</v>
      </c>
      <c r="J89" s="96">
        <f t="shared" si="21"/>
        <v>0</v>
      </c>
      <c r="K89" s="64">
        <f t="shared" si="22"/>
        <v>0</v>
      </c>
    </row>
    <row r="90" spans="1:11">
      <c r="A90" s="28" t="s">
        <v>130</v>
      </c>
      <c r="B90" s="23">
        <v>3405</v>
      </c>
      <c r="C90" s="49"/>
      <c r="D90" s="49">
        <f>F90</f>
        <v>1446.5</v>
      </c>
      <c r="E90" s="49">
        <v>0</v>
      </c>
      <c r="F90" s="49">
        <v>1446.5</v>
      </c>
      <c r="G90" s="49" t="s">
        <v>54</v>
      </c>
      <c r="H90" s="49" t="s">
        <v>54</v>
      </c>
      <c r="I90" s="49">
        <v>0</v>
      </c>
      <c r="J90" s="96">
        <f t="shared" si="21"/>
        <v>0</v>
      </c>
      <c r="K90" s="64">
        <f t="shared" si="22"/>
        <v>0</v>
      </c>
    </row>
    <row r="91" spans="1:11">
      <c r="A91" s="28" t="s">
        <v>135</v>
      </c>
      <c r="B91" s="23">
        <v>3410</v>
      </c>
      <c r="C91" s="49"/>
      <c r="D91" s="49">
        <f>F91</f>
        <v>0</v>
      </c>
      <c r="E91" s="49">
        <v>0</v>
      </c>
      <c r="F91" s="49">
        <v>0</v>
      </c>
      <c r="G91" s="49" t="s">
        <v>54</v>
      </c>
      <c r="H91" s="49" t="s">
        <v>54</v>
      </c>
      <c r="I91" s="49">
        <v>0</v>
      </c>
      <c r="J91" s="96">
        <f t="shared" si="21"/>
        <v>0</v>
      </c>
      <c r="K91" s="64">
        <f t="shared" si="22"/>
        <v>0</v>
      </c>
    </row>
    <row r="92" spans="1:11">
      <c r="A92" s="28" t="s">
        <v>136</v>
      </c>
      <c r="B92" s="23">
        <v>3415</v>
      </c>
      <c r="C92" s="77">
        <f t="shared" ref="C92:F92" si="24">C89+C90+C91</f>
        <v>1446.4799999999987</v>
      </c>
      <c r="D92" s="77">
        <f>D89+D90+D91</f>
        <v>1040.4300000000003</v>
      </c>
      <c r="E92" s="77">
        <f t="shared" si="24"/>
        <v>0</v>
      </c>
      <c r="F92" s="77">
        <f t="shared" si="24"/>
        <v>1040.4300000000003</v>
      </c>
      <c r="G92" s="62">
        <f t="shared" ref="G92" si="25">F92-E92</f>
        <v>1040.4300000000003</v>
      </c>
      <c r="H92" s="70" t="s">
        <v>54</v>
      </c>
      <c r="I92" s="77">
        <f t="shared" ref="I92" si="26">I89+I90+I91</f>
        <v>0</v>
      </c>
      <c r="J92" s="96">
        <f t="shared" ref="J92" si="27">I92/2</f>
        <v>0</v>
      </c>
      <c r="K92" s="64">
        <f t="shared" si="22"/>
        <v>0</v>
      </c>
    </row>
    <row r="94" spans="1:11">
      <c r="A94" s="5" t="s">
        <v>193</v>
      </c>
      <c r="C94" s="5"/>
      <c r="D94" s="5"/>
      <c r="E94" s="5"/>
      <c r="G94" s="120" t="s">
        <v>197</v>
      </c>
      <c r="H94" s="120"/>
    </row>
    <row r="95" spans="1:11" s="6" customFormat="1" ht="15" customHeight="1">
      <c r="A95" s="7" t="s">
        <v>194</v>
      </c>
      <c r="B95" s="7"/>
      <c r="C95" s="7"/>
      <c r="D95" s="7" t="s">
        <v>195</v>
      </c>
      <c r="E95" s="7"/>
      <c r="F95" s="7"/>
      <c r="G95" s="116" t="s">
        <v>196</v>
      </c>
      <c r="H95" s="116"/>
    </row>
  </sheetData>
  <sheetProtection password="CE28" sheet="1" objects="1" scenarios="1"/>
  <mergeCells count="10">
    <mergeCell ref="B70:H70"/>
    <mergeCell ref="G94:H94"/>
    <mergeCell ref="G95:H95"/>
    <mergeCell ref="A2:H2"/>
    <mergeCell ref="A4:A5"/>
    <mergeCell ref="B4:B5"/>
    <mergeCell ref="C4:D4"/>
    <mergeCell ref="E4:H4"/>
    <mergeCell ref="B7:H7"/>
    <mergeCell ref="B51:H51"/>
  </mergeCells>
  <pageMargins left="0.31496062992125984" right="0.31496062992125984" top="0.94488188976377951" bottom="0.55118110236220474" header="0.31496062992125984" footer="0.31496062992125984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17"/>
  <sheetViews>
    <sheetView view="pageBreakPreview" zoomScaleSheetLayoutView="100" workbookViewId="0">
      <selection activeCell="C12" sqref="C12"/>
    </sheetView>
  </sheetViews>
  <sheetFormatPr defaultRowHeight="18.75"/>
  <cols>
    <col min="1" max="1" width="51.42578125" style="4" customWidth="1"/>
    <col min="2" max="2" width="9.140625" style="4"/>
    <col min="3" max="8" width="13" style="4" customWidth="1"/>
    <col min="9" max="16384" width="9.140625" style="4"/>
  </cols>
  <sheetData>
    <row r="1" spans="1:8">
      <c r="H1" s="4" t="s">
        <v>362</v>
      </c>
    </row>
    <row r="2" spans="1:8">
      <c r="A2" s="117" t="s">
        <v>137</v>
      </c>
      <c r="B2" s="117"/>
      <c r="C2" s="117"/>
      <c r="D2" s="117"/>
      <c r="E2" s="117"/>
      <c r="F2" s="117"/>
      <c r="G2" s="117"/>
      <c r="H2" s="117"/>
    </row>
    <row r="4" spans="1:8" ht="38.25" customHeight="1">
      <c r="A4" s="137" t="s">
        <v>42</v>
      </c>
      <c r="B4" s="137" t="s">
        <v>324</v>
      </c>
      <c r="C4" s="137" t="s">
        <v>44</v>
      </c>
      <c r="D4" s="137"/>
      <c r="E4" s="137" t="s">
        <v>45</v>
      </c>
      <c r="F4" s="137"/>
      <c r="G4" s="137"/>
      <c r="H4" s="137"/>
    </row>
    <row r="5" spans="1:8">
      <c r="A5" s="137"/>
      <c r="B5" s="137"/>
      <c r="C5" s="23" t="s">
        <v>46</v>
      </c>
      <c r="D5" s="23" t="s">
        <v>47</v>
      </c>
      <c r="E5" s="23" t="s">
        <v>325</v>
      </c>
      <c r="F5" s="23" t="s">
        <v>49</v>
      </c>
      <c r="G5" s="23" t="s">
        <v>50</v>
      </c>
      <c r="H5" s="23" t="s">
        <v>51</v>
      </c>
    </row>
    <row r="6" spans="1:8">
      <c r="A6" s="23">
        <v>1</v>
      </c>
      <c r="B6" s="23">
        <v>2</v>
      </c>
      <c r="C6" s="23">
        <v>3</v>
      </c>
      <c r="D6" s="23">
        <v>4</v>
      </c>
      <c r="E6" s="23">
        <v>5</v>
      </c>
      <c r="F6" s="23">
        <v>6</v>
      </c>
      <c r="G6" s="23">
        <v>7</v>
      </c>
      <c r="H6" s="23">
        <v>8</v>
      </c>
    </row>
    <row r="7" spans="1:8">
      <c r="A7" s="30" t="s">
        <v>326</v>
      </c>
      <c r="B7" s="140">
        <v>4000</v>
      </c>
      <c r="C7" s="141">
        <f>SUM(C9:C14)</f>
        <v>84.84</v>
      </c>
      <c r="D7" s="141">
        <f t="shared" ref="D7:F7" si="0">SUM(D9:D14)</f>
        <v>143.99</v>
      </c>
      <c r="E7" s="141">
        <f t="shared" si="0"/>
        <v>0</v>
      </c>
      <c r="F7" s="141">
        <f t="shared" si="0"/>
        <v>143.99</v>
      </c>
      <c r="G7" s="139">
        <f>F7-E7</f>
        <v>143.99</v>
      </c>
      <c r="H7" s="139" t="e">
        <f>F7/E7*100</f>
        <v>#DIV/0!</v>
      </c>
    </row>
    <row r="8" spans="1:8">
      <c r="A8" s="30" t="s">
        <v>327</v>
      </c>
      <c r="B8" s="140"/>
      <c r="C8" s="141"/>
      <c r="D8" s="141"/>
      <c r="E8" s="141"/>
      <c r="F8" s="141"/>
      <c r="G8" s="139"/>
      <c r="H8" s="139"/>
    </row>
    <row r="9" spans="1:8">
      <c r="A9" s="28" t="s">
        <v>139</v>
      </c>
      <c r="B9" s="23">
        <v>4010</v>
      </c>
      <c r="C9" s="49" t="s">
        <v>91</v>
      </c>
      <c r="D9" s="49" t="s">
        <v>91</v>
      </c>
      <c r="E9" s="49" t="s">
        <v>91</v>
      </c>
      <c r="F9" s="49" t="s">
        <v>91</v>
      </c>
      <c r="G9" s="49"/>
      <c r="H9" s="49"/>
    </row>
    <row r="10" spans="1:8">
      <c r="A10" s="28" t="s">
        <v>140</v>
      </c>
      <c r="B10" s="23">
        <v>4020</v>
      </c>
      <c r="C10" s="49" t="s">
        <v>91</v>
      </c>
      <c r="D10" s="49" t="s">
        <v>91</v>
      </c>
      <c r="E10" s="49" t="s">
        <v>91</v>
      </c>
      <c r="F10" s="49" t="s">
        <v>91</v>
      </c>
      <c r="G10" s="49"/>
      <c r="H10" s="49"/>
    </row>
    <row r="11" spans="1:8" ht="25.5">
      <c r="A11" s="28" t="s">
        <v>141</v>
      </c>
      <c r="B11" s="23">
        <v>4030</v>
      </c>
      <c r="C11" s="49">
        <v>84.84</v>
      </c>
      <c r="D11" s="49">
        <v>143.99</v>
      </c>
      <c r="E11" s="49">
        <v>0</v>
      </c>
      <c r="F11" s="49">
        <v>143.99</v>
      </c>
      <c r="G11" s="49">
        <f t="shared" ref="G11" si="1">F11-E11</f>
        <v>143.99</v>
      </c>
      <c r="H11" s="49" t="e">
        <f t="shared" ref="H11" si="2">F11/E11*100</f>
        <v>#DIV/0!</v>
      </c>
    </row>
    <row r="12" spans="1:8">
      <c r="A12" s="28" t="s">
        <v>142</v>
      </c>
      <c r="B12" s="23">
        <v>4040</v>
      </c>
      <c r="C12" s="49" t="s">
        <v>91</v>
      </c>
      <c r="D12" s="49" t="s">
        <v>91</v>
      </c>
      <c r="E12" s="49" t="s">
        <v>91</v>
      </c>
      <c r="F12" s="49" t="s">
        <v>91</v>
      </c>
      <c r="G12" s="49"/>
      <c r="H12" s="49"/>
    </row>
    <row r="13" spans="1:8" ht="25.5">
      <c r="A13" s="28" t="s">
        <v>143</v>
      </c>
      <c r="B13" s="23">
        <v>4050</v>
      </c>
      <c r="C13" s="49" t="s">
        <v>91</v>
      </c>
      <c r="D13" s="49" t="s">
        <v>91</v>
      </c>
      <c r="E13" s="49" t="s">
        <v>91</v>
      </c>
      <c r="F13" s="49" t="s">
        <v>91</v>
      </c>
      <c r="G13" s="49"/>
      <c r="H13" s="49"/>
    </row>
    <row r="14" spans="1:8">
      <c r="A14" s="28" t="s">
        <v>144</v>
      </c>
      <c r="B14" s="23">
        <v>4060</v>
      </c>
      <c r="C14" s="49" t="s">
        <v>91</v>
      </c>
      <c r="D14" s="49" t="s">
        <v>91</v>
      </c>
      <c r="E14" s="49" t="s">
        <v>91</v>
      </c>
      <c r="F14" s="49" t="s">
        <v>91</v>
      </c>
      <c r="G14" s="49"/>
      <c r="H14" s="49"/>
    </row>
    <row r="16" spans="1:8">
      <c r="A16" s="5" t="s">
        <v>193</v>
      </c>
      <c r="C16" s="5"/>
      <c r="D16" s="5"/>
      <c r="E16" s="5"/>
      <c r="G16" s="120" t="s">
        <v>197</v>
      </c>
      <c r="H16" s="120"/>
    </row>
    <row r="17" spans="1:8" s="6" customFormat="1" ht="15" customHeight="1">
      <c r="A17" s="7" t="s">
        <v>194</v>
      </c>
      <c r="B17" s="7"/>
      <c r="C17" s="7"/>
      <c r="D17" s="7" t="s">
        <v>195</v>
      </c>
      <c r="E17" s="7"/>
      <c r="F17" s="7"/>
      <c r="G17" s="116" t="s">
        <v>196</v>
      </c>
      <c r="H17" s="116"/>
    </row>
  </sheetData>
  <sheetProtection password="CE28" sheet="1" objects="1" scenarios="1"/>
  <mergeCells count="14">
    <mergeCell ref="H7:H8"/>
    <mergeCell ref="G16:H16"/>
    <mergeCell ref="G17:H17"/>
    <mergeCell ref="A2:H2"/>
    <mergeCell ref="A4:A5"/>
    <mergeCell ref="B4:B5"/>
    <mergeCell ref="C4:D4"/>
    <mergeCell ref="E4:H4"/>
    <mergeCell ref="B7:B8"/>
    <mergeCell ref="C7:C8"/>
    <mergeCell ref="D7:D8"/>
    <mergeCell ref="E7:E8"/>
    <mergeCell ref="F7:F8"/>
    <mergeCell ref="G7:G8"/>
  </mergeCells>
  <pageMargins left="0.31496062992125984" right="0.31496062992125984" top="0.94488188976377951" bottom="0.55118110236220474" header="0.31496062992125984" footer="0.31496062992125984"/>
  <pageSetup paperSize="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36"/>
  <sheetViews>
    <sheetView view="pageBreakPreview" zoomScaleSheetLayoutView="100" workbookViewId="0">
      <selection activeCell="G8" sqref="G8:G9"/>
    </sheetView>
  </sheetViews>
  <sheetFormatPr defaultRowHeight="18.75"/>
  <cols>
    <col min="1" max="1" width="44.7109375" style="4" customWidth="1"/>
    <col min="2" max="2" width="6.5703125" style="4" customWidth="1"/>
    <col min="3" max="3" width="12" style="4" customWidth="1"/>
    <col min="4" max="7" width="11.5703125" style="4" customWidth="1"/>
    <col min="8" max="8" width="28.85546875" style="4" customWidth="1"/>
    <col min="9" max="16384" width="9.140625" style="4"/>
  </cols>
  <sheetData>
    <row r="1" spans="1:8">
      <c r="H1" s="4" t="s">
        <v>361</v>
      </c>
    </row>
    <row r="2" spans="1:8">
      <c r="A2" s="117" t="s">
        <v>154</v>
      </c>
      <c r="B2" s="117"/>
      <c r="C2" s="117"/>
      <c r="D2" s="117"/>
      <c r="E2" s="117"/>
      <c r="F2" s="117"/>
      <c r="G2" s="117"/>
      <c r="H2" s="117"/>
    </row>
    <row r="3" spans="1:8" ht="19.5" thickBot="1"/>
    <row r="4" spans="1:8" ht="38.25" customHeight="1" thickBot="1">
      <c r="A4" s="144" t="s">
        <v>42</v>
      </c>
      <c r="B4" s="144" t="s">
        <v>43</v>
      </c>
      <c r="C4" s="144" t="s">
        <v>329</v>
      </c>
      <c r="D4" s="148" t="s">
        <v>44</v>
      </c>
      <c r="E4" s="149"/>
      <c r="F4" s="148" t="s">
        <v>45</v>
      </c>
      <c r="G4" s="149"/>
      <c r="H4" s="144" t="s">
        <v>330</v>
      </c>
    </row>
    <row r="5" spans="1:8" ht="19.5" thickBot="1">
      <c r="A5" s="145"/>
      <c r="B5" s="145"/>
      <c r="C5" s="145"/>
      <c r="D5" s="11" t="s">
        <v>46</v>
      </c>
      <c r="E5" s="11" t="s">
        <v>47</v>
      </c>
      <c r="F5" s="11" t="s">
        <v>46</v>
      </c>
      <c r="G5" s="11" t="s">
        <v>47</v>
      </c>
      <c r="H5" s="145"/>
    </row>
    <row r="6" spans="1:8" ht="19.5" thickBot="1">
      <c r="A6" s="12">
        <v>1</v>
      </c>
      <c r="B6" s="11">
        <v>2</v>
      </c>
      <c r="C6" s="11">
        <v>3</v>
      </c>
      <c r="D6" s="11">
        <v>4</v>
      </c>
      <c r="E6" s="11">
        <v>5</v>
      </c>
      <c r="F6" s="11">
        <v>6</v>
      </c>
      <c r="G6" s="11">
        <v>7</v>
      </c>
      <c r="H6" s="11">
        <v>8</v>
      </c>
    </row>
    <row r="7" spans="1:8" ht="19.5" thickBot="1">
      <c r="A7" s="13" t="s">
        <v>331</v>
      </c>
      <c r="B7" s="16" t="s">
        <v>91</v>
      </c>
      <c r="C7" s="11" t="s">
        <v>91</v>
      </c>
      <c r="D7" s="11" t="s">
        <v>91</v>
      </c>
      <c r="E7" s="11" t="s">
        <v>91</v>
      </c>
      <c r="F7" s="11" t="s">
        <v>91</v>
      </c>
      <c r="G7" s="11" t="s">
        <v>91</v>
      </c>
      <c r="H7" s="11" t="s">
        <v>91</v>
      </c>
    </row>
    <row r="8" spans="1:8">
      <c r="A8" s="17" t="s">
        <v>332</v>
      </c>
      <c r="B8" s="144">
        <v>5000</v>
      </c>
      <c r="C8" s="144" t="s">
        <v>334</v>
      </c>
      <c r="D8" s="146">
        <f>Лист1!C32/Лист1!C30*100</f>
        <v>38.393436417076096</v>
      </c>
      <c r="E8" s="146">
        <f>Лист1!D32/Лист1!D30*100</f>
        <v>27.944963868513284</v>
      </c>
      <c r="F8" s="146">
        <f>Лист1!E32/Лист1!E30*100</f>
        <v>28.343195941930315</v>
      </c>
      <c r="G8" s="146">
        <f>Лист1!F32/Лист1!F30*100</f>
        <v>27.944963868513284</v>
      </c>
      <c r="H8" s="142" t="s">
        <v>91</v>
      </c>
    </row>
    <row r="9" spans="1:8" ht="39" thickBot="1">
      <c r="A9" s="14" t="s">
        <v>333</v>
      </c>
      <c r="B9" s="145"/>
      <c r="C9" s="145"/>
      <c r="D9" s="147"/>
      <c r="E9" s="147"/>
      <c r="F9" s="147"/>
      <c r="G9" s="147"/>
      <c r="H9" s="143"/>
    </row>
    <row r="10" spans="1:8">
      <c r="A10" s="17" t="s">
        <v>72</v>
      </c>
      <c r="B10" s="144">
        <v>5010</v>
      </c>
      <c r="C10" s="144" t="s">
        <v>334</v>
      </c>
      <c r="D10" s="146">
        <f>Лист1!C47/Лист1!C30*100</f>
        <v>17.703674515998866</v>
      </c>
      <c r="E10" s="146">
        <f>Лист1!D47/Лист1!D30*100</f>
        <v>-1.2913897942083252</v>
      </c>
      <c r="F10" s="146">
        <f>Лист1!E47/Лист1!E30*100</f>
        <v>0.16573314896788455</v>
      </c>
      <c r="G10" s="146">
        <f>Лист1!F47/Лист1!F30*100</f>
        <v>-1.2913897942083252</v>
      </c>
      <c r="H10" s="142" t="s">
        <v>91</v>
      </c>
    </row>
    <row r="11" spans="1:8" ht="26.25" thickBot="1">
      <c r="A11" s="14" t="s">
        <v>335</v>
      </c>
      <c r="B11" s="145"/>
      <c r="C11" s="145"/>
      <c r="D11" s="147"/>
      <c r="E11" s="147"/>
      <c r="F11" s="147"/>
      <c r="G11" s="147"/>
      <c r="H11" s="143"/>
    </row>
    <row r="12" spans="1:8">
      <c r="A12" s="17" t="s">
        <v>157</v>
      </c>
      <c r="B12" s="144">
        <v>5020</v>
      </c>
      <c r="C12" s="144" t="s">
        <v>334</v>
      </c>
      <c r="D12" s="146" t="e">
        <f>Лист1!C62/Лист1!C140*100</f>
        <v>#DIV/0!</v>
      </c>
      <c r="E12" s="146" t="e">
        <f>Лист1!D62/Лист1!D140*100</f>
        <v>#DIV/0!</v>
      </c>
      <c r="F12" s="146" t="e">
        <f>Лист1!E62/Лист1!E140*100</f>
        <v>#DIV/0!</v>
      </c>
      <c r="G12" s="146"/>
      <c r="H12" s="142" t="s">
        <v>337</v>
      </c>
    </row>
    <row r="13" spans="1:8" ht="26.25" thickBot="1">
      <c r="A13" s="14" t="s">
        <v>336</v>
      </c>
      <c r="B13" s="145"/>
      <c r="C13" s="145"/>
      <c r="D13" s="147"/>
      <c r="E13" s="147"/>
      <c r="F13" s="147"/>
      <c r="G13" s="147"/>
      <c r="H13" s="143"/>
    </row>
    <row r="14" spans="1:8">
      <c r="A14" s="17" t="s">
        <v>158</v>
      </c>
      <c r="B14" s="144">
        <v>5030</v>
      </c>
      <c r="C14" s="144" t="s">
        <v>334</v>
      </c>
      <c r="D14" s="146">
        <f>Лист1!C62/Лист1!C146*100</f>
        <v>36.843173924659411</v>
      </c>
      <c r="E14" s="146">
        <f>Лист1!D62/Лист1!D146*100</f>
        <v>-23.524626048887228</v>
      </c>
      <c r="F14" s="146">
        <f>Лист1!E62/Лист1!E146*100</f>
        <v>-4.5833868977508095E-14</v>
      </c>
      <c r="G14" s="146"/>
      <c r="H14" s="142" t="s">
        <v>91</v>
      </c>
    </row>
    <row r="15" spans="1:8" ht="26.25" thickBot="1">
      <c r="A15" s="14" t="s">
        <v>338</v>
      </c>
      <c r="B15" s="145"/>
      <c r="C15" s="145"/>
      <c r="D15" s="147"/>
      <c r="E15" s="147"/>
      <c r="F15" s="147"/>
      <c r="G15" s="147"/>
      <c r="H15" s="143"/>
    </row>
    <row r="16" spans="1:8">
      <c r="A16" s="17" t="s">
        <v>155</v>
      </c>
      <c r="B16" s="144">
        <v>5040</v>
      </c>
      <c r="C16" s="144" t="s">
        <v>334</v>
      </c>
      <c r="D16" s="146">
        <f>Лист1!C62/Лист1!C30*100</f>
        <v>12.31243207079757</v>
      </c>
      <c r="E16" s="146">
        <f>Лист1!D62/Лист1!D30*100</f>
        <v>-4.2309895493291672</v>
      </c>
      <c r="F16" s="146">
        <f>Лист1!E62/Лист1!E30*100</f>
        <v>-7.9129984741384803E-15</v>
      </c>
      <c r="G16" s="146">
        <f>Лист1!F62/Лист1!F30*100</f>
        <v>-4.2309895493291672</v>
      </c>
      <c r="H16" s="142" t="s">
        <v>340</v>
      </c>
    </row>
    <row r="17" spans="1:8" ht="39" thickBot="1">
      <c r="A17" s="14" t="s">
        <v>339</v>
      </c>
      <c r="B17" s="145"/>
      <c r="C17" s="145"/>
      <c r="D17" s="147"/>
      <c r="E17" s="147"/>
      <c r="F17" s="147"/>
      <c r="G17" s="147"/>
      <c r="H17" s="143"/>
    </row>
    <row r="18" spans="1:8" ht="19.5" thickBot="1">
      <c r="A18" s="13" t="s">
        <v>341</v>
      </c>
      <c r="B18" s="11" t="s">
        <v>91</v>
      </c>
      <c r="C18" s="11" t="s">
        <v>91</v>
      </c>
      <c r="D18" s="11" t="s">
        <v>91</v>
      </c>
      <c r="E18" s="11" t="s">
        <v>91</v>
      </c>
      <c r="F18" s="11" t="s">
        <v>91</v>
      </c>
      <c r="G18" s="11" t="s">
        <v>91</v>
      </c>
      <c r="H18" s="18" t="s">
        <v>91</v>
      </c>
    </row>
    <row r="19" spans="1:8">
      <c r="A19" s="17" t="s">
        <v>342</v>
      </c>
      <c r="B19" s="144">
        <v>5100</v>
      </c>
      <c r="C19" s="144" t="s">
        <v>91</v>
      </c>
      <c r="D19" s="146">
        <f>(Лист1!C141+Лист1!C142)/Лист1!C47</f>
        <v>0</v>
      </c>
      <c r="E19" s="146">
        <f>(Лист1!D141+Лист1!D142)/Лист1!D47</f>
        <v>0</v>
      </c>
      <c r="F19" s="146">
        <f>(Лист1!E141+Лист1!E142)/Лист1!E47</f>
        <v>0</v>
      </c>
      <c r="G19" s="146"/>
      <c r="H19" s="142" t="s">
        <v>91</v>
      </c>
    </row>
    <row r="20" spans="1:8" ht="26.25" thickBot="1">
      <c r="A20" s="14" t="s">
        <v>343</v>
      </c>
      <c r="B20" s="145"/>
      <c r="C20" s="145"/>
      <c r="D20" s="147"/>
      <c r="E20" s="147"/>
      <c r="F20" s="147"/>
      <c r="G20" s="147"/>
      <c r="H20" s="143"/>
    </row>
    <row r="21" spans="1:8">
      <c r="A21" s="17" t="s">
        <v>159</v>
      </c>
      <c r="B21" s="144">
        <v>5110</v>
      </c>
      <c r="C21" s="144" t="s">
        <v>345</v>
      </c>
      <c r="D21" s="146" t="e">
        <f>Лист1!C146/(Лист1!C141+Лист1!C142)</f>
        <v>#DIV/0!</v>
      </c>
      <c r="E21" s="146" t="e">
        <f>Лист1!D146/(Лист1!D141+Лист1!D142)</f>
        <v>#DIV/0!</v>
      </c>
      <c r="F21" s="146" t="e">
        <f>Лист1!E146/(Лист1!E141+Лист1!E142)</f>
        <v>#DIV/0!</v>
      </c>
      <c r="G21" s="146" t="s">
        <v>91</v>
      </c>
      <c r="H21" s="142" t="s">
        <v>346</v>
      </c>
    </row>
    <row r="22" spans="1:8" ht="39" thickBot="1">
      <c r="A22" s="14" t="s">
        <v>344</v>
      </c>
      <c r="B22" s="145"/>
      <c r="C22" s="145"/>
      <c r="D22" s="147"/>
      <c r="E22" s="147"/>
      <c r="F22" s="147"/>
      <c r="G22" s="147"/>
      <c r="H22" s="143"/>
    </row>
    <row r="23" spans="1:8" ht="21" customHeight="1">
      <c r="A23" s="17" t="s">
        <v>347</v>
      </c>
      <c r="B23" s="144">
        <v>5120</v>
      </c>
      <c r="C23" s="144" t="s">
        <v>345</v>
      </c>
      <c r="D23" s="146" t="e">
        <f>Лист1!C138/Лист1!C142</f>
        <v>#DIV/0!</v>
      </c>
      <c r="E23" s="146" t="e">
        <f>Лист1!D138/Лист1!D142</f>
        <v>#DIV/0!</v>
      </c>
      <c r="F23" s="146" t="e">
        <f>Лист1!E138/Лист1!E142</f>
        <v>#DIV/0!</v>
      </c>
      <c r="G23" s="146" t="s">
        <v>91</v>
      </c>
      <c r="H23" s="142" t="s">
        <v>349</v>
      </c>
    </row>
    <row r="24" spans="1:8" ht="59.25" customHeight="1" thickBot="1">
      <c r="A24" s="19" t="s">
        <v>348</v>
      </c>
      <c r="B24" s="145"/>
      <c r="C24" s="145"/>
      <c r="D24" s="147"/>
      <c r="E24" s="147"/>
      <c r="F24" s="147"/>
      <c r="G24" s="147"/>
      <c r="H24" s="143"/>
    </row>
    <row r="25" spans="1:8" ht="19.5" thickBot="1">
      <c r="A25" s="13" t="s">
        <v>350</v>
      </c>
      <c r="B25" s="11" t="s">
        <v>91</v>
      </c>
      <c r="C25" s="11" t="s">
        <v>91</v>
      </c>
      <c r="D25" s="11" t="s">
        <v>91</v>
      </c>
      <c r="E25" s="11" t="s">
        <v>91</v>
      </c>
      <c r="F25" s="11" t="s">
        <v>91</v>
      </c>
      <c r="G25" s="11" t="s">
        <v>91</v>
      </c>
      <c r="H25" s="18" t="s">
        <v>91</v>
      </c>
    </row>
    <row r="26" spans="1:8" ht="25.5">
      <c r="A26" s="17" t="s">
        <v>351</v>
      </c>
      <c r="B26" s="144">
        <v>5200</v>
      </c>
      <c r="C26" s="144" t="s">
        <v>91</v>
      </c>
      <c r="D26" s="146">
        <f>Лист1!C115/Лист1!C74</f>
        <v>0.18733439321674616</v>
      </c>
      <c r="E26" s="146">
        <f>Лист1!D115/Лист1!D74</f>
        <v>0.32140625</v>
      </c>
      <c r="F26" s="146">
        <f>Лист1!E115/Лист1!E74</f>
        <v>0</v>
      </c>
      <c r="G26" s="146">
        <f>Лист1!F115/Лист1!F74</f>
        <v>0.32140625</v>
      </c>
      <c r="H26" s="142" t="s">
        <v>91</v>
      </c>
    </row>
    <row r="27" spans="1:8" ht="26.25" thickBot="1">
      <c r="A27" s="14" t="s">
        <v>352</v>
      </c>
      <c r="B27" s="145"/>
      <c r="C27" s="145"/>
      <c r="D27" s="147"/>
      <c r="E27" s="147"/>
      <c r="F27" s="147"/>
      <c r="G27" s="147"/>
      <c r="H27" s="143"/>
    </row>
    <row r="28" spans="1:8" ht="38.25">
      <c r="A28" s="17" t="s">
        <v>353</v>
      </c>
      <c r="B28" s="144">
        <v>5210</v>
      </c>
      <c r="C28" s="144" t="s">
        <v>91</v>
      </c>
      <c r="D28" s="146">
        <f>Лист1!C115/Лист1!C30</f>
        <v>1.0099651321561516E-2</v>
      </c>
      <c r="E28" s="146">
        <f>Лист1!D115/Лист1!D30</f>
        <v>9.4480573379430808E-3</v>
      </c>
      <c r="F28" s="146">
        <f>Лист1!E115/Лист1!E30</f>
        <v>0</v>
      </c>
      <c r="G28" s="146">
        <f>Лист1!F115/Лист1!F30</f>
        <v>9.4480573379430808E-3</v>
      </c>
      <c r="H28" s="142" t="s">
        <v>91</v>
      </c>
    </row>
    <row r="29" spans="1:8" ht="39" thickBot="1">
      <c r="A29" s="14" t="s">
        <v>354</v>
      </c>
      <c r="B29" s="145"/>
      <c r="C29" s="145"/>
      <c r="D29" s="147"/>
      <c r="E29" s="147"/>
      <c r="F29" s="147"/>
      <c r="G29" s="147"/>
      <c r="H29" s="143"/>
    </row>
    <row r="30" spans="1:8">
      <c r="A30" s="17" t="s">
        <v>160</v>
      </c>
      <c r="B30" s="144">
        <v>5220</v>
      </c>
      <c r="C30" s="144" t="s">
        <v>356</v>
      </c>
      <c r="D30" s="146">
        <f>Лист1!C137/Лист1!C136</f>
        <v>0.74160656119758628</v>
      </c>
      <c r="E30" s="146">
        <f>Лист1!D137/Лист1!D136</f>
        <v>0.7638648554657449</v>
      </c>
      <c r="F30" s="146">
        <f>Лист1!E137/Лист1!E136</f>
        <v>0.73564312261121656</v>
      </c>
      <c r="G30" s="146" t="e">
        <f>Лист1!F137/Лист1!F136</f>
        <v>#VALUE!</v>
      </c>
      <c r="H30" s="142" t="s">
        <v>357</v>
      </c>
    </row>
    <row r="31" spans="1:8" ht="26.25" thickBot="1">
      <c r="A31" s="14" t="s">
        <v>355</v>
      </c>
      <c r="B31" s="145"/>
      <c r="C31" s="145"/>
      <c r="D31" s="147"/>
      <c r="E31" s="147"/>
      <c r="F31" s="147"/>
      <c r="G31" s="147"/>
      <c r="H31" s="143"/>
    </row>
    <row r="32" spans="1:8" ht="19.5" thickBot="1">
      <c r="A32" s="13" t="s">
        <v>358</v>
      </c>
      <c r="B32" s="11" t="s">
        <v>91</v>
      </c>
      <c r="C32" s="11" t="s">
        <v>91</v>
      </c>
      <c r="D32" s="86" t="s">
        <v>91</v>
      </c>
      <c r="E32" s="86" t="s">
        <v>91</v>
      </c>
      <c r="F32" s="86" t="s">
        <v>91</v>
      </c>
      <c r="G32" s="86" t="s">
        <v>91</v>
      </c>
      <c r="H32" s="18" t="s">
        <v>91</v>
      </c>
    </row>
    <row r="33" spans="1:8" ht="64.5" thickBot="1">
      <c r="A33" s="14" t="s">
        <v>359</v>
      </c>
      <c r="B33" s="11">
        <v>5300</v>
      </c>
      <c r="C33" s="11" t="s">
        <v>91</v>
      </c>
      <c r="D33" s="86" t="s">
        <v>91</v>
      </c>
      <c r="E33" s="86" t="s">
        <v>91</v>
      </c>
      <c r="F33" s="86" t="s">
        <v>91</v>
      </c>
      <c r="G33" s="86" t="s">
        <v>91</v>
      </c>
      <c r="H33" s="18" t="s">
        <v>91</v>
      </c>
    </row>
    <row r="35" spans="1:8">
      <c r="A35" s="5" t="s">
        <v>193</v>
      </c>
      <c r="C35" s="5"/>
      <c r="D35" s="5"/>
      <c r="E35" s="5"/>
      <c r="G35" s="120" t="s">
        <v>197</v>
      </c>
      <c r="H35" s="120"/>
    </row>
    <row r="36" spans="1:8" s="6" customFormat="1" ht="15" customHeight="1">
      <c r="A36" s="7" t="s">
        <v>194</v>
      </c>
      <c r="B36" s="7"/>
      <c r="C36" s="7"/>
      <c r="D36" s="7" t="s">
        <v>195</v>
      </c>
      <c r="E36" s="7"/>
      <c r="F36" s="7"/>
      <c r="G36" s="116" t="s">
        <v>196</v>
      </c>
      <c r="H36" s="116"/>
    </row>
  </sheetData>
  <sheetProtection password="CE28" sheet="1" objects="1" scenarios="1"/>
  <mergeCells count="86">
    <mergeCell ref="H4:H5"/>
    <mergeCell ref="A4:A5"/>
    <mergeCell ref="B4:B5"/>
    <mergeCell ref="C4:C5"/>
    <mergeCell ref="D4:E4"/>
    <mergeCell ref="F4:G4"/>
    <mergeCell ref="H8:H9"/>
    <mergeCell ref="B10:B11"/>
    <mergeCell ref="C10:C11"/>
    <mergeCell ref="D10:D11"/>
    <mergeCell ref="E10:E11"/>
    <mergeCell ref="F10:F11"/>
    <mergeCell ref="G10:G11"/>
    <mergeCell ref="H10:H11"/>
    <mergeCell ref="B8:B9"/>
    <mergeCell ref="C8:C9"/>
    <mergeCell ref="D8:D9"/>
    <mergeCell ref="E8:E9"/>
    <mergeCell ref="F8:F9"/>
    <mergeCell ref="G8:G9"/>
    <mergeCell ref="H12:H13"/>
    <mergeCell ref="B14:B15"/>
    <mergeCell ref="C14:C15"/>
    <mergeCell ref="D14:D15"/>
    <mergeCell ref="E14:E15"/>
    <mergeCell ref="F14:F15"/>
    <mergeCell ref="G14:G15"/>
    <mergeCell ref="H14:H15"/>
    <mergeCell ref="B12:B13"/>
    <mergeCell ref="C12:C13"/>
    <mergeCell ref="D12:D13"/>
    <mergeCell ref="E12:E13"/>
    <mergeCell ref="F12:F13"/>
    <mergeCell ref="G12:G13"/>
    <mergeCell ref="H16:H17"/>
    <mergeCell ref="B19:B20"/>
    <mergeCell ref="C19:C20"/>
    <mergeCell ref="D19:D20"/>
    <mergeCell ref="E19:E20"/>
    <mergeCell ref="F19:F20"/>
    <mergeCell ref="G19:G20"/>
    <mergeCell ref="H19:H20"/>
    <mergeCell ref="B16:B17"/>
    <mergeCell ref="C16:C17"/>
    <mergeCell ref="D16:D17"/>
    <mergeCell ref="E16:E17"/>
    <mergeCell ref="F16:F17"/>
    <mergeCell ref="G16:G17"/>
    <mergeCell ref="H21:H22"/>
    <mergeCell ref="B23:B24"/>
    <mergeCell ref="C23:C24"/>
    <mergeCell ref="D23:D24"/>
    <mergeCell ref="E23:E24"/>
    <mergeCell ref="F23:F24"/>
    <mergeCell ref="G23:G24"/>
    <mergeCell ref="H23:H24"/>
    <mergeCell ref="B21:B22"/>
    <mergeCell ref="C21:C22"/>
    <mergeCell ref="D21:D22"/>
    <mergeCell ref="E21:E22"/>
    <mergeCell ref="F21:F22"/>
    <mergeCell ref="G21:G22"/>
    <mergeCell ref="G28:G29"/>
    <mergeCell ref="H28:H29"/>
    <mergeCell ref="B26:B27"/>
    <mergeCell ref="C26:C27"/>
    <mergeCell ref="D26:D27"/>
    <mergeCell ref="E26:E27"/>
    <mergeCell ref="F26:F27"/>
    <mergeCell ref="G26:G27"/>
    <mergeCell ref="H30:H31"/>
    <mergeCell ref="G35:H35"/>
    <mergeCell ref="G36:H36"/>
    <mergeCell ref="A2:H2"/>
    <mergeCell ref="B30:B31"/>
    <mergeCell ref="C30:C31"/>
    <mergeCell ref="D30:D31"/>
    <mergeCell ref="E30:E31"/>
    <mergeCell ref="F30:F31"/>
    <mergeCell ref="G30:G31"/>
    <mergeCell ref="H26:H27"/>
    <mergeCell ref="B28:B29"/>
    <mergeCell ref="C28:C29"/>
    <mergeCell ref="D28:D29"/>
    <mergeCell ref="E28:E29"/>
    <mergeCell ref="F28:F29"/>
  </mergeCells>
  <pageMargins left="0.31496062992125984" right="0.31496062992125984" top="0.94488188976377951" bottom="0.55118110236220474" header="0.31496062992125984" footer="0.31496062992125984"/>
  <pageSetup paperSize="9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J49"/>
  <sheetViews>
    <sheetView view="pageBreakPreview" topLeftCell="A19" zoomScaleSheetLayoutView="100" workbookViewId="0">
      <selection activeCell="D37" sqref="D37"/>
    </sheetView>
  </sheetViews>
  <sheetFormatPr defaultRowHeight="18.75"/>
  <cols>
    <col min="1" max="1" width="48.28515625" style="4" customWidth="1"/>
    <col min="2" max="2" width="19.28515625" style="4" customWidth="1"/>
    <col min="3" max="4" width="16.140625" style="4" customWidth="1"/>
    <col min="5" max="5" width="18.5703125" style="4" customWidth="1"/>
    <col min="6" max="6" width="17.7109375" style="4" customWidth="1"/>
    <col min="7" max="8" width="18.7109375" style="4" hidden="1" customWidth="1"/>
    <col min="9" max="9" width="11.85546875" style="4" hidden="1" customWidth="1"/>
    <col min="10" max="10" width="11.42578125" style="4" hidden="1" customWidth="1"/>
    <col min="11" max="16384" width="9.140625" style="4"/>
  </cols>
  <sheetData>
    <row r="1" spans="1:9">
      <c r="F1" s="4" t="s">
        <v>377</v>
      </c>
    </row>
    <row r="2" spans="1:9">
      <c r="A2" s="117" t="s">
        <v>378</v>
      </c>
      <c r="B2" s="117"/>
      <c r="C2" s="117"/>
      <c r="D2" s="117"/>
      <c r="E2" s="117"/>
      <c r="F2" s="117"/>
    </row>
    <row r="3" spans="1:9">
      <c r="A3" s="117" t="s">
        <v>522</v>
      </c>
      <c r="B3" s="117"/>
      <c r="C3" s="117"/>
      <c r="D3" s="117"/>
      <c r="E3" s="117"/>
      <c r="F3" s="117"/>
    </row>
    <row r="4" spans="1:9">
      <c r="A4" s="120" t="s">
        <v>6</v>
      </c>
      <c r="B4" s="120"/>
      <c r="C4" s="120"/>
      <c r="D4" s="120"/>
      <c r="E4" s="120"/>
      <c r="F4" s="120"/>
    </row>
    <row r="5" spans="1:9" ht="12.75" customHeight="1">
      <c r="A5" s="116" t="s">
        <v>379</v>
      </c>
      <c r="B5" s="116"/>
      <c r="C5" s="116"/>
      <c r="D5" s="116"/>
      <c r="E5" s="116"/>
      <c r="F5" s="116"/>
    </row>
    <row r="6" spans="1:9" ht="24.75" customHeight="1">
      <c r="A6" s="152" t="s">
        <v>380</v>
      </c>
      <c r="B6" s="152"/>
      <c r="C6" s="152"/>
      <c r="D6" s="152"/>
      <c r="E6" s="152"/>
      <c r="F6" s="152"/>
    </row>
    <row r="7" spans="1:9">
      <c r="A7" s="155" t="s">
        <v>381</v>
      </c>
      <c r="B7" s="155"/>
      <c r="C7" s="155"/>
      <c r="D7" s="155"/>
      <c r="E7" s="155"/>
      <c r="F7" s="155"/>
    </row>
    <row r="9" spans="1:9" ht="51">
      <c r="A9" s="23" t="s">
        <v>42</v>
      </c>
      <c r="B9" s="23" t="s">
        <v>364</v>
      </c>
      <c r="C9" s="23" t="s">
        <v>365</v>
      </c>
      <c r="D9" s="23" t="s">
        <v>366</v>
      </c>
      <c r="E9" s="23" t="s">
        <v>367</v>
      </c>
      <c r="F9" s="23" t="s">
        <v>368</v>
      </c>
      <c r="G9" s="97" t="s">
        <v>495</v>
      </c>
      <c r="H9" s="97" t="s">
        <v>520</v>
      </c>
      <c r="I9" s="64"/>
    </row>
    <row r="10" spans="1:9">
      <c r="A10" s="23">
        <v>1</v>
      </c>
      <c r="B10" s="23">
        <v>2</v>
      </c>
      <c r="C10" s="23">
        <v>3</v>
      </c>
      <c r="D10" s="23">
        <v>4</v>
      </c>
      <c r="E10" s="23">
        <v>5</v>
      </c>
      <c r="F10" s="23">
        <v>6</v>
      </c>
      <c r="G10" s="96"/>
      <c r="H10" s="96"/>
      <c r="I10" s="64"/>
    </row>
    <row r="11" spans="1:9" ht="38.25">
      <c r="A11" s="30" t="s">
        <v>369</v>
      </c>
      <c r="B11" s="50">
        <f>SUM(B12:B16)</f>
        <v>109</v>
      </c>
      <c r="C11" s="50">
        <f t="shared" ref="C11:D11" si="0">SUM(C12:C16)</f>
        <v>104</v>
      </c>
      <c r="D11" s="50">
        <f t="shared" si="0"/>
        <v>104</v>
      </c>
      <c r="E11" s="54">
        <f>D11-C11</f>
        <v>0</v>
      </c>
      <c r="F11" s="49">
        <f>D11/C11*100</f>
        <v>100</v>
      </c>
      <c r="G11" s="50">
        <f t="shared" ref="G11" si="1">SUM(G12:G16)</f>
        <v>104</v>
      </c>
      <c r="H11" s="96">
        <f>G11</f>
        <v>104</v>
      </c>
      <c r="I11" s="64">
        <f>H11-C11</f>
        <v>0</v>
      </c>
    </row>
    <row r="12" spans="1:9">
      <c r="A12" s="28" t="s">
        <v>183</v>
      </c>
      <c r="B12" s="49" t="s">
        <v>91</v>
      </c>
      <c r="C12" s="49" t="s">
        <v>91</v>
      </c>
      <c r="D12" s="49" t="s">
        <v>91</v>
      </c>
      <c r="E12" s="62" t="s">
        <v>54</v>
      </c>
      <c r="F12" s="62" t="s">
        <v>54</v>
      </c>
      <c r="G12" s="96"/>
      <c r="H12" s="96">
        <f t="shared" ref="H12:H16" si="2">G12</f>
        <v>0</v>
      </c>
      <c r="I12" s="64" t="e">
        <f t="shared" ref="I12:I37" si="3">H12-C12</f>
        <v>#VALUE!</v>
      </c>
    </row>
    <row r="13" spans="1:9">
      <c r="A13" s="28" t="s">
        <v>184</v>
      </c>
      <c r="B13" s="49" t="s">
        <v>91</v>
      </c>
      <c r="C13" s="49" t="s">
        <v>91</v>
      </c>
      <c r="D13" s="49" t="s">
        <v>91</v>
      </c>
      <c r="E13" s="62" t="s">
        <v>54</v>
      </c>
      <c r="F13" s="62" t="s">
        <v>54</v>
      </c>
      <c r="G13" s="96"/>
      <c r="H13" s="96">
        <f t="shared" si="2"/>
        <v>0</v>
      </c>
      <c r="I13" s="64" t="e">
        <f t="shared" si="3"/>
        <v>#VALUE!</v>
      </c>
    </row>
    <row r="14" spans="1:9">
      <c r="A14" s="28" t="s">
        <v>185</v>
      </c>
      <c r="B14" s="49">
        <v>1</v>
      </c>
      <c r="C14" s="49">
        <v>1</v>
      </c>
      <c r="D14" s="65">
        <v>1</v>
      </c>
      <c r="E14" s="54">
        <f t="shared" ref="E14:E37" si="4">D14-C14</f>
        <v>0</v>
      </c>
      <c r="F14" s="49">
        <f t="shared" ref="F14:F37" si="5">D14/C14*100</f>
        <v>100</v>
      </c>
      <c r="G14" s="96">
        <v>1</v>
      </c>
      <c r="H14" s="96">
        <f t="shared" si="2"/>
        <v>1</v>
      </c>
      <c r="I14" s="64">
        <f t="shared" si="3"/>
        <v>0</v>
      </c>
    </row>
    <row r="15" spans="1:9">
      <c r="A15" s="28" t="s">
        <v>186</v>
      </c>
      <c r="B15" s="49">
        <v>13</v>
      </c>
      <c r="C15" s="49">
        <v>14</v>
      </c>
      <c r="D15" s="65">
        <v>13</v>
      </c>
      <c r="E15" s="54">
        <f t="shared" si="4"/>
        <v>-1</v>
      </c>
      <c r="F15" s="49">
        <f t="shared" si="5"/>
        <v>92.857142857142861</v>
      </c>
      <c r="G15" s="96">
        <v>14</v>
      </c>
      <c r="H15" s="96">
        <f t="shared" si="2"/>
        <v>14</v>
      </c>
      <c r="I15" s="64">
        <f t="shared" si="3"/>
        <v>0</v>
      </c>
    </row>
    <row r="16" spans="1:9">
      <c r="A16" s="28" t="s">
        <v>187</v>
      </c>
      <c r="B16" s="49">
        <v>95</v>
      </c>
      <c r="C16" s="49">
        <v>89</v>
      </c>
      <c r="D16" s="65">
        <v>90</v>
      </c>
      <c r="E16" s="54">
        <f t="shared" si="4"/>
        <v>1</v>
      </c>
      <c r="F16" s="49">
        <f t="shared" si="5"/>
        <v>101.12359550561798</v>
      </c>
      <c r="G16" s="96">
        <v>89</v>
      </c>
      <c r="H16" s="96">
        <f t="shared" si="2"/>
        <v>89</v>
      </c>
      <c r="I16" s="64">
        <f t="shared" si="3"/>
        <v>0</v>
      </c>
    </row>
    <row r="17" spans="1:10">
      <c r="A17" s="30" t="s">
        <v>370</v>
      </c>
      <c r="B17" s="50">
        <f>SUM(B18:B22)</f>
        <v>5120.76</v>
      </c>
      <c r="C17" s="50">
        <f t="shared" ref="C17" si="6">SUM(C18:C22)</f>
        <v>13371.61</v>
      </c>
      <c r="D17" s="50">
        <f t="shared" ref="D17" si="7">SUM(D18:D22)</f>
        <v>11252.93</v>
      </c>
      <c r="E17" s="54">
        <f t="shared" si="4"/>
        <v>-2118.6800000000003</v>
      </c>
      <c r="F17" s="49">
        <f t="shared" si="5"/>
        <v>84.155385925853352</v>
      </c>
      <c r="G17" s="50">
        <f t="shared" ref="G17" si="8">SUM(G18:G22)</f>
        <v>13371.61</v>
      </c>
      <c r="H17" s="96">
        <f>G17/3</f>
        <v>4457.2033333333338</v>
      </c>
      <c r="I17" s="64">
        <f t="shared" si="3"/>
        <v>-8914.4066666666658</v>
      </c>
    </row>
    <row r="18" spans="1:10">
      <c r="A18" s="28" t="s">
        <v>183</v>
      </c>
      <c r="B18" s="49" t="s">
        <v>91</v>
      </c>
      <c r="C18" s="49" t="s">
        <v>91</v>
      </c>
      <c r="D18" s="49" t="s">
        <v>91</v>
      </c>
      <c r="E18" s="62" t="s">
        <v>54</v>
      </c>
      <c r="F18" s="62" t="s">
        <v>54</v>
      </c>
      <c r="G18" s="96"/>
      <c r="H18" s="96">
        <f t="shared" ref="H18:H28" si="9">G18/3</f>
        <v>0</v>
      </c>
      <c r="I18" s="64" t="e">
        <f t="shared" si="3"/>
        <v>#VALUE!</v>
      </c>
    </row>
    <row r="19" spans="1:10">
      <c r="A19" s="28" t="s">
        <v>184</v>
      </c>
      <c r="B19" s="49" t="s">
        <v>91</v>
      </c>
      <c r="C19" s="49" t="s">
        <v>91</v>
      </c>
      <c r="D19" s="49" t="s">
        <v>91</v>
      </c>
      <c r="E19" s="62" t="s">
        <v>54</v>
      </c>
      <c r="F19" s="62" t="s">
        <v>54</v>
      </c>
      <c r="G19" s="96"/>
      <c r="H19" s="96">
        <f t="shared" si="9"/>
        <v>0</v>
      </c>
      <c r="I19" s="64" t="e">
        <f t="shared" si="3"/>
        <v>#VALUE!</v>
      </c>
    </row>
    <row r="20" spans="1:10">
      <c r="A20" s="28" t="s">
        <v>185</v>
      </c>
      <c r="B20" s="49">
        <v>164.94</v>
      </c>
      <c r="C20" s="49">
        <v>334.44</v>
      </c>
      <c r="D20" s="65">
        <v>222.6</v>
      </c>
      <c r="E20" s="54">
        <f t="shared" si="4"/>
        <v>-111.84</v>
      </c>
      <c r="F20" s="49">
        <f t="shared" si="5"/>
        <v>66.559024040186571</v>
      </c>
      <c r="G20" s="96">
        <v>334.44</v>
      </c>
      <c r="H20" s="96">
        <f t="shared" si="9"/>
        <v>111.48</v>
      </c>
      <c r="I20" s="64">
        <f t="shared" si="3"/>
        <v>-222.95999999999998</v>
      </c>
    </row>
    <row r="21" spans="1:10">
      <c r="A21" s="28" t="s">
        <v>186</v>
      </c>
      <c r="B21" s="49">
        <v>710.73</v>
      </c>
      <c r="C21" s="49">
        <v>1806.58</v>
      </c>
      <c r="D21" s="65">
        <v>1376.72</v>
      </c>
      <c r="E21" s="54">
        <f t="shared" si="4"/>
        <v>-429.8599999999999</v>
      </c>
      <c r="F21" s="49">
        <f t="shared" si="5"/>
        <v>76.205869654263864</v>
      </c>
      <c r="G21" s="96">
        <v>1806.58</v>
      </c>
      <c r="H21" s="96">
        <f t="shared" si="9"/>
        <v>602.19333333333327</v>
      </c>
      <c r="I21" s="64">
        <f t="shared" si="3"/>
        <v>-1204.3866666666668</v>
      </c>
    </row>
    <row r="22" spans="1:10">
      <c r="A22" s="28" t="s">
        <v>187</v>
      </c>
      <c r="B22" s="49">
        <v>4245.09</v>
      </c>
      <c r="C22" s="49">
        <v>11230.59</v>
      </c>
      <c r="D22" s="65">
        <v>9653.61</v>
      </c>
      <c r="E22" s="54">
        <f t="shared" si="4"/>
        <v>-1576.9799999999996</v>
      </c>
      <c r="F22" s="49">
        <f t="shared" si="5"/>
        <v>85.958173168106043</v>
      </c>
      <c r="G22" s="96">
        <v>11230.59</v>
      </c>
      <c r="H22" s="96">
        <f t="shared" si="9"/>
        <v>3743.53</v>
      </c>
      <c r="I22" s="64">
        <f t="shared" si="3"/>
        <v>-7487.0599999999995</v>
      </c>
    </row>
    <row r="23" spans="1:10">
      <c r="A23" s="30" t="s">
        <v>371</v>
      </c>
      <c r="B23" s="50">
        <f>SUM(B24:B28)</f>
        <v>4167.7700000000004</v>
      </c>
      <c r="C23" s="50">
        <f t="shared" ref="C23" si="10">SUM(C24:C28)</f>
        <v>11130.78</v>
      </c>
      <c r="D23" s="50">
        <f t="shared" ref="D23" si="11">SUM(D24:D28)</f>
        <v>9191.5499999999993</v>
      </c>
      <c r="E23" s="54">
        <f t="shared" si="4"/>
        <v>-1939.2300000000014</v>
      </c>
      <c r="F23" s="49">
        <f t="shared" si="5"/>
        <v>82.577770830076588</v>
      </c>
      <c r="G23" s="50">
        <f t="shared" ref="G23" si="12">SUM(G24:G28)</f>
        <v>10960.34</v>
      </c>
      <c r="H23" s="96">
        <f t="shared" si="9"/>
        <v>3653.4466666666667</v>
      </c>
      <c r="I23" s="64">
        <f t="shared" si="3"/>
        <v>-7477.3333333333339</v>
      </c>
      <c r="J23" s="4">
        <f>2782.69*2</f>
        <v>5565.38</v>
      </c>
    </row>
    <row r="24" spans="1:10">
      <c r="A24" s="28" t="s">
        <v>183</v>
      </c>
      <c r="B24" s="49" t="s">
        <v>91</v>
      </c>
      <c r="C24" s="49" t="s">
        <v>91</v>
      </c>
      <c r="D24" s="49" t="s">
        <v>91</v>
      </c>
      <c r="E24" s="62" t="s">
        <v>54</v>
      </c>
      <c r="F24" s="62" t="s">
        <v>54</v>
      </c>
      <c r="G24" s="96"/>
      <c r="H24" s="96">
        <f t="shared" si="9"/>
        <v>0</v>
      </c>
      <c r="I24" s="64" t="e">
        <f t="shared" si="3"/>
        <v>#VALUE!</v>
      </c>
    </row>
    <row r="25" spans="1:10">
      <c r="A25" s="28" t="s">
        <v>184</v>
      </c>
      <c r="B25" s="49" t="s">
        <v>91</v>
      </c>
      <c r="C25" s="49" t="s">
        <v>91</v>
      </c>
      <c r="D25" s="49" t="s">
        <v>91</v>
      </c>
      <c r="E25" s="62" t="s">
        <v>54</v>
      </c>
      <c r="F25" s="62" t="s">
        <v>54</v>
      </c>
      <c r="G25" s="96"/>
      <c r="H25" s="96">
        <f t="shared" si="9"/>
        <v>0</v>
      </c>
      <c r="I25" s="64" t="e">
        <f t="shared" si="3"/>
        <v>#VALUE!</v>
      </c>
    </row>
    <row r="26" spans="1:10">
      <c r="A26" s="28" t="s">
        <v>185</v>
      </c>
      <c r="B26" s="49">
        <v>135.19</v>
      </c>
      <c r="C26" s="49">
        <v>274.14</v>
      </c>
      <c r="D26" s="65">
        <v>182.46</v>
      </c>
      <c r="E26" s="54">
        <f t="shared" si="4"/>
        <v>-91.679999999999978</v>
      </c>
      <c r="F26" s="49">
        <f t="shared" si="5"/>
        <v>66.557233530312985</v>
      </c>
      <c r="G26" s="96">
        <v>274.14</v>
      </c>
      <c r="H26" s="96">
        <f t="shared" si="9"/>
        <v>91.38</v>
      </c>
      <c r="I26" s="64">
        <f t="shared" si="3"/>
        <v>-182.76</v>
      </c>
    </row>
    <row r="27" spans="1:10">
      <c r="A27" s="28" t="s">
        <v>186</v>
      </c>
      <c r="B27" s="49">
        <v>568.80999999999995</v>
      </c>
      <c r="C27" s="49">
        <v>1480.8</v>
      </c>
      <c r="D27" s="65">
        <v>1121.69</v>
      </c>
      <c r="E27" s="54">
        <f t="shared" si="4"/>
        <v>-359.1099999999999</v>
      </c>
      <c r="F27" s="49">
        <f t="shared" si="5"/>
        <v>75.748919502971361</v>
      </c>
      <c r="G27" s="96">
        <v>1480.8</v>
      </c>
      <c r="H27" s="96">
        <f t="shared" si="9"/>
        <v>493.59999999999997</v>
      </c>
      <c r="I27" s="64">
        <f t="shared" si="3"/>
        <v>-987.2</v>
      </c>
    </row>
    <row r="28" spans="1:10">
      <c r="A28" s="28" t="s">
        <v>187</v>
      </c>
      <c r="B28" s="49">
        <v>3463.77</v>
      </c>
      <c r="C28" s="49">
        <v>9375.84</v>
      </c>
      <c r="D28" s="65">
        <v>7887.4</v>
      </c>
      <c r="E28" s="54">
        <f t="shared" si="4"/>
        <v>-1488.4400000000005</v>
      </c>
      <c r="F28" s="49">
        <f t="shared" si="5"/>
        <v>84.124729090940107</v>
      </c>
      <c r="G28" s="96">
        <v>9205.4</v>
      </c>
      <c r="H28" s="96">
        <f t="shared" si="9"/>
        <v>3068.4666666666667</v>
      </c>
      <c r="I28" s="64">
        <f t="shared" si="3"/>
        <v>-6307.373333333333</v>
      </c>
    </row>
    <row r="29" spans="1:10" ht="25.5">
      <c r="A29" s="30" t="s">
        <v>372</v>
      </c>
      <c r="B29" s="50">
        <f>B30+B31+B32+B36+B37</f>
        <v>35901.53537112011</v>
      </c>
      <c r="C29" s="50">
        <f>C23/12/C11*1000</f>
        <v>8918.8942307692305</v>
      </c>
      <c r="D29" s="50">
        <f>D23/12/D11*1000</f>
        <v>7365.0240384615381</v>
      </c>
      <c r="E29" s="54">
        <f t="shared" si="4"/>
        <v>-1553.8701923076924</v>
      </c>
      <c r="F29" s="49">
        <f t="shared" si="5"/>
        <v>82.577770830076602</v>
      </c>
      <c r="G29" s="50">
        <f>G23/3/G11*1000</f>
        <v>35129.294871794868</v>
      </c>
      <c r="H29" s="96"/>
      <c r="I29" s="64">
        <f t="shared" si="3"/>
        <v>-8918.8942307692305</v>
      </c>
    </row>
    <row r="30" spans="1:10">
      <c r="A30" s="28" t="s">
        <v>189</v>
      </c>
      <c r="B30" s="51">
        <v>0</v>
      </c>
      <c r="C30" s="51">
        <v>0</v>
      </c>
      <c r="D30" s="51">
        <v>0</v>
      </c>
      <c r="E30" s="54">
        <f t="shared" si="4"/>
        <v>0</v>
      </c>
      <c r="F30" s="49" t="e">
        <f t="shared" si="5"/>
        <v>#DIV/0!</v>
      </c>
      <c r="G30" s="96"/>
      <c r="H30" s="96"/>
      <c r="I30" s="64">
        <f t="shared" si="3"/>
        <v>0</v>
      </c>
    </row>
    <row r="31" spans="1:10">
      <c r="A31" s="28" t="s">
        <v>190</v>
      </c>
      <c r="B31" s="51">
        <v>0</v>
      </c>
      <c r="C31" s="51">
        <v>0</v>
      </c>
      <c r="D31" s="51">
        <v>0</v>
      </c>
      <c r="E31" s="54">
        <f t="shared" si="4"/>
        <v>0</v>
      </c>
      <c r="F31" s="49" t="e">
        <f t="shared" si="5"/>
        <v>#DIV/0!</v>
      </c>
      <c r="G31" s="96"/>
      <c r="H31" s="96"/>
      <c r="I31" s="64">
        <f t="shared" si="3"/>
        <v>0</v>
      </c>
    </row>
    <row r="32" spans="1:10">
      <c r="A32" s="28" t="s">
        <v>373</v>
      </c>
      <c r="B32" s="51">
        <f>B33+B34+B35</f>
        <v>22532.31</v>
      </c>
      <c r="C32" s="51">
        <f>C33+C34+C35</f>
        <v>22844.579999999998</v>
      </c>
      <c r="D32" s="51">
        <f t="shared" ref="D32" si="13">D33+D34+D35</f>
        <v>15205</v>
      </c>
      <c r="E32" s="54">
        <f t="shared" si="4"/>
        <v>-7639.5799999999981</v>
      </c>
      <c r="F32" s="49">
        <f t="shared" si="5"/>
        <v>66.558457192034183</v>
      </c>
      <c r="G32" s="96">
        <v>22844.58</v>
      </c>
      <c r="H32" s="96"/>
      <c r="I32" s="64">
        <f t="shared" si="3"/>
        <v>-22844.579999999998</v>
      </c>
    </row>
    <row r="33" spans="1:9" ht="21" customHeight="1">
      <c r="A33" s="34" t="s">
        <v>374</v>
      </c>
      <c r="B33" s="49">
        <v>3715.71</v>
      </c>
      <c r="C33" s="65">
        <v>5131.96</v>
      </c>
      <c r="D33" s="65">
        <v>6064.05</v>
      </c>
      <c r="E33" s="54">
        <f t="shared" si="4"/>
        <v>932.09000000000015</v>
      </c>
      <c r="F33" s="49">
        <f t="shared" si="5"/>
        <v>118.16245644938776</v>
      </c>
      <c r="G33" s="96"/>
      <c r="H33" s="96"/>
      <c r="I33" s="64">
        <f t="shared" si="3"/>
        <v>-5131.96</v>
      </c>
    </row>
    <row r="34" spans="1:9" ht="19.5" customHeight="1">
      <c r="A34" s="34" t="s">
        <v>375</v>
      </c>
      <c r="B34" s="49">
        <v>7397.83</v>
      </c>
      <c r="C34" s="65">
        <v>11546.91</v>
      </c>
      <c r="D34" s="65">
        <v>3784.37</v>
      </c>
      <c r="E34" s="54">
        <f t="shared" si="4"/>
        <v>-7762.54</v>
      </c>
      <c r="F34" s="49">
        <f t="shared" si="5"/>
        <v>32.773876301105666</v>
      </c>
      <c r="G34" s="96"/>
      <c r="H34" s="96"/>
      <c r="I34" s="64">
        <f t="shared" si="3"/>
        <v>-11546.91</v>
      </c>
    </row>
    <row r="35" spans="1:9">
      <c r="A35" s="34" t="s">
        <v>376</v>
      </c>
      <c r="B35" s="49">
        <v>11418.77</v>
      </c>
      <c r="C35" s="65">
        <v>6165.71</v>
      </c>
      <c r="D35" s="65">
        <v>5356.58</v>
      </c>
      <c r="E35" s="54">
        <f t="shared" si="4"/>
        <v>-809.13000000000011</v>
      </c>
      <c r="F35" s="49">
        <f t="shared" si="5"/>
        <v>86.876937124840452</v>
      </c>
      <c r="G35" s="96"/>
      <c r="H35" s="96"/>
      <c r="I35" s="64">
        <f t="shared" si="3"/>
        <v>-6165.71</v>
      </c>
    </row>
    <row r="36" spans="1:9">
      <c r="A36" s="28" t="s">
        <v>191</v>
      </c>
      <c r="B36" s="51">
        <f>B27/B15/6*1000</f>
        <v>7292.4358974358965</v>
      </c>
      <c r="C36" s="51">
        <f t="shared" ref="C36:D36" si="14">C27/C15/12*1000</f>
        <v>8814.2857142857156</v>
      </c>
      <c r="D36" s="51">
        <f t="shared" si="14"/>
        <v>7190.3205128205127</v>
      </c>
      <c r="E36" s="54">
        <f t="shared" si="4"/>
        <v>-1623.9652014652029</v>
      </c>
      <c r="F36" s="49">
        <f t="shared" si="5"/>
        <v>81.575759464738383</v>
      </c>
      <c r="G36" s="51">
        <f>G27/G15/12*1000</f>
        <v>8814.2857142857156</v>
      </c>
      <c r="H36" s="96"/>
      <c r="I36" s="64">
        <f t="shared" si="3"/>
        <v>-8814.2857142857156</v>
      </c>
    </row>
    <row r="37" spans="1:9">
      <c r="A37" s="28" t="s">
        <v>192</v>
      </c>
      <c r="B37" s="51">
        <f>B28/B16/6*1000</f>
        <v>6076.7894736842109</v>
      </c>
      <c r="C37" s="51">
        <f t="shared" ref="C37:D37" si="15">C28/C16/12*1000</f>
        <v>8778.8764044943819</v>
      </c>
      <c r="D37" s="51">
        <f t="shared" si="15"/>
        <v>7303.1481481481469</v>
      </c>
      <c r="E37" s="54">
        <f t="shared" si="4"/>
        <v>-1475.728256346235</v>
      </c>
      <c r="F37" s="49">
        <f t="shared" si="5"/>
        <v>83.190009878818543</v>
      </c>
      <c r="G37" s="51">
        <f>G28/G16/12*1000</f>
        <v>8619.2883895131072</v>
      </c>
      <c r="H37" s="96"/>
      <c r="I37" s="64">
        <f t="shared" si="3"/>
        <v>-8778.8764044943819</v>
      </c>
    </row>
    <row r="39" spans="1:9">
      <c r="A39" s="154" t="s">
        <v>494</v>
      </c>
      <c r="B39" s="154"/>
      <c r="C39" s="154"/>
      <c r="D39" s="154"/>
      <c r="E39" s="154"/>
      <c r="F39" s="154"/>
    </row>
    <row r="40" spans="1:9" ht="28.5" customHeight="1">
      <c r="A40" s="151" t="s">
        <v>382</v>
      </c>
      <c r="B40" s="151"/>
      <c r="C40" s="151"/>
      <c r="D40" s="151"/>
      <c r="E40" s="151"/>
      <c r="F40" s="151"/>
    </row>
    <row r="42" spans="1:9">
      <c r="A42" s="152" t="s">
        <v>383</v>
      </c>
      <c r="B42" s="152"/>
      <c r="C42" s="152"/>
      <c r="D42" s="152"/>
      <c r="E42" s="152"/>
      <c r="F42" s="152"/>
    </row>
    <row r="44" spans="1:9">
      <c r="A44" s="21" t="s">
        <v>384</v>
      </c>
      <c r="B44" s="153" t="s">
        <v>385</v>
      </c>
      <c r="C44" s="153"/>
      <c r="D44" s="153" t="s">
        <v>386</v>
      </c>
      <c r="E44" s="153"/>
      <c r="F44" s="153"/>
    </row>
    <row r="45" spans="1:9">
      <c r="A45" s="21">
        <v>1</v>
      </c>
      <c r="B45" s="153">
        <v>2</v>
      </c>
      <c r="C45" s="153"/>
      <c r="D45" s="153">
        <v>3</v>
      </c>
      <c r="E45" s="153"/>
      <c r="F45" s="153"/>
    </row>
    <row r="46" spans="1:9">
      <c r="A46" s="20"/>
      <c r="B46" s="150"/>
      <c r="C46" s="150"/>
      <c r="D46" s="150"/>
      <c r="E46" s="150"/>
      <c r="F46" s="150"/>
    </row>
    <row r="47" spans="1:9">
      <c r="A47" s="20"/>
      <c r="B47" s="150"/>
      <c r="C47" s="150"/>
      <c r="D47" s="150"/>
      <c r="E47" s="150"/>
      <c r="F47" s="150"/>
    </row>
    <row r="48" spans="1:9">
      <c r="A48" s="20"/>
      <c r="B48" s="150"/>
      <c r="C48" s="150"/>
      <c r="D48" s="150"/>
      <c r="E48" s="150"/>
      <c r="F48" s="150"/>
    </row>
    <row r="49" spans="1:6">
      <c r="A49" s="20"/>
      <c r="B49" s="150"/>
      <c r="C49" s="150"/>
      <c r="D49" s="150"/>
      <c r="E49" s="150"/>
      <c r="F49" s="150"/>
    </row>
  </sheetData>
  <sheetProtection password="CE28" sheet="1" objects="1" scenarios="1"/>
  <mergeCells count="21">
    <mergeCell ref="A39:F39"/>
    <mergeCell ref="A7:F7"/>
    <mergeCell ref="A2:F2"/>
    <mergeCell ref="A3:F3"/>
    <mergeCell ref="A4:F4"/>
    <mergeCell ref="A5:F5"/>
    <mergeCell ref="A6:F6"/>
    <mergeCell ref="A40:F40"/>
    <mergeCell ref="A42:F42"/>
    <mergeCell ref="B44:C44"/>
    <mergeCell ref="D44:F44"/>
    <mergeCell ref="B45:C45"/>
    <mergeCell ref="D45:F45"/>
    <mergeCell ref="B46:C46"/>
    <mergeCell ref="B47:C47"/>
    <mergeCell ref="B48:C48"/>
    <mergeCell ref="B49:C49"/>
    <mergeCell ref="D46:F46"/>
    <mergeCell ref="D47:F47"/>
    <mergeCell ref="D48:F48"/>
    <mergeCell ref="D49:F49"/>
  </mergeCells>
  <pageMargins left="0.31496062992125984" right="0.31496062992125984" top="0.94488188976377951" bottom="0.55118110236220474" header="0.31496062992125984" footer="0.31496062992125984"/>
  <pageSetup paperSize="9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11"/>
  <sheetViews>
    <sheetView view="pageBreakPreview" zoomScaleSheetLayoutView="100" workbookViewId="0">
      <selection activeCell="F7" sqref="F7"/>
    </sheetView>
  </sheetViews>
  <sheetFormatPr defaultRowHeight="18.75"/>
  <cols>
    <col min="1" max="1" width="14" style="4" customWidth="1"/>
    <col min="2" max="7" width="11" style="4" customWidth="1"/>
    <col min="8" max="13" width="9.7109375" style="4" customWidth="1"/>
    <col min="14" max="16384" width="9.140625" style="4"/>
  </cols>
  <sheetData>
    <row r="1" spans="1:13">
      <c r="A1" s="152" t="s">
        <v>398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</row>
    <row r="3" spans="1:13" ht="19.5" customHeight="1">
      <c r="A3" s="137" t="s">
        <v>387</v>
      </c>
      <c r="B3" s="137" t="s">
        <v>388</v>
      </c>
      <c r="C3" s="137"/>
      <c r="D3" s="137"/>
      <c r="E3" s="137" t="s">
        <v>389</v>
      </c>
      <c r="F3" s="137"/>
      <c r="G3" s="137"/>
      <c r="H3" s="137" t="s">
        <v>390</v>
      </c>
      <c r="I3" s="137"/>
      <c r="J3" s="137"/>
      <c r="K3" s="137" t="s">
        <v>391</v>
      </c>
      <c r="L3" s="137"/>
      <c r="M3" s="137"/>
    </row>
    <row r="4" spans="1:13" ht="217.5" customHeight="1">
      <c r="A4" s="137"/>
      <c r="B4" s="32" t="s">
        <v>392</v>
      </c>
      <c r="C4" s="32" t="s">
        <v>393</v>
      </c>
      <c r="D4" s="32" t="s">
        <v>394</v>
      </c>
      <c r="E4" s="32" t="s">
        <v>392</v>
      </c>
      <c r="F4" s="32" t="s">
        <v>393</v>
      </c>
      <c r="G4" s="32" t="s">
        <v>394</v>
      </c>
      <c r="H4" s="32" t="s">
        <v>392</v>
      </c>
      <c r="I4" s="32" t="s">
        <v>393</v>
      </c>
      <c r="J4" s="32" t="s">
        <v>394</v>
      </c>
      <c r="K4" s="32" t="s">
        <v>395</v>
      </c>
      <c r="L4" s="32" t="s">
        <v>396</v>
      </c>
      <c r="M4" s="32" t="s">
        <v>397</v>
      </c>
    </row>
    <row r="5" spans="1:13">
      <c r="A5" s="23">
        <v>1</v>
      </c>
      <c r="B5" s="23">
        <v>2</v>
      </c>
      <c r="C5" s="23">
        <v>3</v>
      </c>
      <c r="D5" s="23">
        <v>4</v>
      </c>
      <c r="E5" s="23">
        <v>5</v>
      </c>
      <c r="F5" s="23">
        <v>6</v>
      </c>
      <c r="G5" s="23">
        <v>7</v>
      </c>
      <c r="H5" s="23">
        <v>8</v>
      </c>
      <c r="I5" s="23">
        <v>9</v>
      </c>
      <c r="J5" s="23">
        <v>10</v>
      </c>
      <c r="K5" s="23">
        <v>11</v>
      </c>
      <c r="L5" s="23">
        <v>12</v>
      </c>
      <c r="M5" s="23">
        <v>13</v>
      </c>
    </row>
    <row r="6" spans="1:13" ht="38.25">
      <c r="A6" s="23" t="s">
        <v>456</v>
      </c>
      <c r="B6" s="65">
        <f>табл.1!E9</f>
        <v>18391.009999999998</v>
      </c>
      <c r="C6" s="65">
        <v>14400</v>
      </c>
      <c r="D6" s="65">
        <f>B6/C6*1000</f>
        <v>1277.1534722222223</v>
      </c>
      <c r="E6" s="65">
        <f>табл.1!F9</f>
        <v>15240.17</v>
      </c>
      <c r="F6" s="65">
        <v>69075</v>
      </c>
      <c r="G6" s="65">
        <f>E6/F6*1000</f>
        <v>220.63221136445893</v>
      </c>
      <c r="H6" s="51">
        <f>E6-B6</f>
        <v>-3150.8399999999983</v>
      </c>
      <c r="I6" s="51">
        <f>F6-C6</f>
        <v>54675</v>
      </c>
      <c r="J6" s="51">
        <f>G6-D6</f>
        <v>-1056.5212608577633</v>
      </c>
      <c r="K6" s="52">
        <f>E6/B6*100</f>
        <v>82.867498848622247</v>
      </c>
      <c r="L6" s="52">
        <f t="shared" ref="L6:M6" si="0">F6/C6*100</f>
        <v>479.6875</v>
      </c>
      <c r="M6" s="52">
        <f t="shared" si="0"/>
        <v>17.275309206227433</v>
      </c>
    </row>
    <row r="7" spans="1:13">
      <c r="A7" s="23" t="s">
        <v>91</v>
      </c>
      <c r="B7" s="65" t="s">
        <v>91</v>
      </c>
      <c r="C7" s="65" t="s">
        <v>91</v>
      </c>
      <c r="D7" s="65" t="s">
        <v>91</v>
      </c>
      <c r="E7" s="65" t="s">
        <v>91</v>
      </c>
      <c r="F7" s="65" t="s">
        <v>91</v>
      </c>
      <c r="G7" s="65" t="s">
        <v>91</v>
      </c>
      <c r="H7" s="51" t="s">
        <v>54</v>
      </c>
      <c r="I7" s="51" t="s">
        <v>54</v>
      </c>
      <c r="J7" s="51" t="s">
        <v>54</v>
      </c>
      <c r="K7" s="52" t="s">
        <v>54</v>
      </c>
      <c r="L7" s="52" t="s">
        <v>54</v>
      </c>
      <c r="M7" s="52" t="s">
        <v>54</v>
      </c>
    </row>
    <row r="8" spans="1:13">
      <c r="A8" s="28" t="s">
        <v>91</v>
      </c>
      <c r="B8" s="49" t="s">
        <v>91</v>
      </c>
      <c r="C8" s="49" t="s">
        <v>91</v>
      </c>
      <c r="D8" s="49" t="s">
        <v>91</v>
      </c>
      <c r="E8" s="49" t="s">
        <v>91</v>
      </c>
      <c r="F8" s="49" t="s">
        <v>91</v>
      </c>
      <c r="G8" s="49" t="s">
        <v>91</v>
      </c>
      <c r="H8" s="51" t="s">
        <v>54</v>
      </c>
      <c r="I8" s="51" t="s">
        <v>54</v>
      </c>
      <c r="J8" s="51" t="s">
        <v>54</v>
      </c>
      <c r="K8" s="52" t="s">
        <v>54</v>
      </c>
      <c r="L8" s="52" t="s">
        <v>54</v>
      </c>
      <c r="M8" s="52" t="s">
        <v>54</v>
      </c>
    </row>
    <row r="9" spans="1:13">
      <c r="A9" s="28" t="s">
        <v>91</v>
      </c>
      <c r="B9" s="49" t="s">
        <v>91</v>
      </c>
      <c r="C9" s="49" t="s">
        <v>91</v>
      </c>
      <c r="D9" s="49" t="s">
        <v>91</v>
      </c>
      <c r="E9" s="49" t="s">
        <v>91</v>
      </c>
      <c r="F9" s="49" t="s">
        <v>91</v>
      </c>
      <c r="G9" s="49" t="s">
        <v>91</v>
      </c>
      <c r="H9" s="51" t="s">
        <v>54</v>
      </c>
      <c r="I9" s="51" t="s">
        <v>54</v>
      </c>
      <c r="J9" s="51" t="s">
        <v>54</v>
      </c>
      <c r="K9" s="52" t="s">
        <v>54</v>
      </c>
      <c r="L9" s="52" t="s">
        <v>54</v>
      </c>
      <c r="M9" s="52" t="s">
        <v>54</v>
      </c>
    </row>
    <row r="10" spans="1:13">
      <c r="A10" s="30" t="s">
        <v>99</v>
      </c>
      <c r="B10" s="50">
        <f>SUM(B6:B9)</f>
        <v>18391.009999999998</v>
      </c>
      <c r="C10" s="49" t="s">
        <v>91</v>
      </c>
      <c r="D10" s="49" t="s">
        <v>91</v>
      </c>
      <c r="E10" s="50">
        <f>SUM(E6:E9)</f>
        <v>15240.17</v>
      </c>
      <c r="F10" s="49" t="s">
        <v>91</v>
      </c>
      <c r="G10" s="49" t="s">
        <v>91</v>
      </c>
      <c r="H10" s="50">
        <f>SUM(H6:H9)</f>
        <v>-3150.8399999999983</v>
      </c>
      <c r="I10" s="49" t="s">
        <v>91</v>
      </c>
      <c r="J10" s="49" t="s">
        <v>91</v>
      </c>
      <c r="K10" s="52">
        <f>SUM(K6:K9)</f>
        <v>82.867498848622247</v>
      </c>
      <c r="L10" s="49" t="s">
        <v>91</v>
      </c>
      <c r="M10" s="49" t="s">
        <v>91</v>
      </c>
    </row>
    <row r="11" spans="1:13" ht="53.25" customHeight="1">
      <c r="F11" s="53" t="s">
        <v>457</v>
      </c>
    </row>
  </sheetData>
  <sheetProtection password="CE28" sheet="1" objects="1" scenarios="1"/>
  <mergeCells count="6">
    <mergeCell ref="A1:M1"/>
    <mergeCell ref="A3:A4"/>
    <mergeCell ref="B3:D3"/>
    <mergeCell ref="E3:G3"/>
    <mergeCell ref="H3:J3"/>
    <mergeCell ref="K3:M3"/>
  </mergeCells>
  <pageMargins left="0.31496062992125984" right="0.31496062992125984" top="0.94488188976377951" bottom="0.55118110236220474" header="0.31496062992125984" footer="0.31496062992125984"/>
  <pageSetup paperSize="9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G25"/>
  <sheetViews>
    <sheetView view="pageBreakPreview" zoomScaleSheetLayoutView="100" workbookViewId="0">
      <selection activeCell="B13" sqref="B13:B14"/>
    </sheetView>
  </sheetViews>
  <sheetFormatPr defaultRowHeight="18.75"/>
  <cols>
    <col min="1" max="1" width="35.85546875" style="4" customWidth="1"/>
    <col min="2" max="2" width="25" style="4" customWidth="1"/>
    <col min="3" max="3" width="16.42578125" style="4" customWidth="1"/>
    <col min="4" max="4" width="11.42578125" style="4" customWidth="1"/>
    <col min="5" max="6" width="16.42578125" style="4" customWidth="1"/>
    <col min="7" max="7" width="16.140625" style="4" customWidth="1"/>
    <col min="8" max="16384" width="9.140625" style="4"/>
  </cols>
  <sheetData>
    <row r="1" spans="1:7">
      <c r="A1" s="152" t="s">
        <v>407</v>
      </c>
      <c r="B1" s="152"/>
      <c r="C1" s="152"/>
      <c r="D1" s="152"/>
      <c r="E1" s="152"/>
      <c r="F1" s="152"/>
      <c r="G1" s="152"/>
    </row>
    <row r="3" spans="1:7" ht="33" customHeight="1">
      <c r="A3" s="23" t="s">
        <v>399</v>
      </c>
      <c r="B3" s="23" t="s">
        <v>400</v>
      </c>
      <c r="C3" s="23" t="s">
        <v>401</v>
      </c>
      <c r="D3" s="23" t="s">
        <v>402</v>
      </c>
      <c r="E3" s="23" t="s">
        <v>403</v>
      </c>
      <c r="F3" s="23" t="s">
        <v>404</v>
      </c>
      <c r="G3" s="23" t="s">
        <v>405</v>
      </c>
    </row>
    <row r="4" spans="1:7">
      <c r="A4" s="23">
        <v>1</v>
      </c>
      <c r="B4" s="23">
        <v>2</v>
      </c>
      <c r="C4" s="23">
        <v>3</v>
      </c>
      <c r="D4" s="23">
        <v>4</v>
      </c>
      <c r="E4" s="23">
        <v>5</v>
      </c>
      <c r="F4" s="23">
        <v>6</v>
      </c>
      <c r="G4" s="23">
        <v>7</v>
      </c>
    </row>
    <row r="5" spans="1:7">
      <c r="A5" s="28" t="s">
        <v>91</v>
      </c>
      <c r="B5" s="28" t="s">
        <v>91</v>
      </c>
      <c r="C5" s="23" t="s">
        <v>91</v>
      </c>
      <c r="D5" s="23" t="s">
        <v>91</v>
      </c>
      <c r="E5" s="23" t="s">
        <v>91</v>
      </c>
      <c r="F5" s="23" t="s">
        <v>91</v>
      </c>
      <c r="G5" s="23" t="s">
        <v>91</v>
      </c>
    </row>
    <row r="6" spans="1:7">
      <c r="A6" s="28" t="s">
        <v>91</v>
      </c>
      <c r="B6" s="28" t="s">
        <v>91</v>
      </c>
      <c r="C6" s="23" t="s">
        <v>91</v>
      </c>
      <c r="D6" s="23" t="s">
        <v>91</v>
      </c>
      <c r="E6" s="23" t="s">
        <v>91</v>
      </c>
      <c r="F6" s="23" t="s">
        <v>91</v>
      </c>
      <c r="G6" s="23" t="s">
        <v>91</v>
      </c>
    </row>
    <row r="7" spans="1:7">
      <c r="A7" s="28" t="s">
        <v>91</v>
      </c>
      <c r="B7" s="23" t="s">
        <v>91</v>
      </c>
      <c r="C7" s="23" t="s">
        <v>91</v>
      </c>
      <c r="D7" s="23" t="s">
        <v>91</v>
      </c>
      <c r="E7" s="23" t="s">
        <v>91</v>
      </c>
      <c r="F7" s="23" t="s">
        <v>91</v>
      </c>
      <c r="G7" s="23" t="s">
        <v>91</v>
      </c>
    </row>
    <row r="8" spans="1:7">
      <c r="A8" s="28" t="s">
        <v>91</v>
      </c>
      <c r="B8" s="28" t="s">
        <v>91</v>
      </c>
      <c r="C8" s="23" t="s">
        <v>91</v>
      </c>
      <c r="D8" s="23" t="s">
        <v>91</v>
      </c>
      <c r="E8" s="23" t="s">
        <v>91</v>
      </c>
      <c r="F8" s="23" t="s">
        <v>91</v>
      </c>
      <c r="G8" s="23" t="s">
        <v>91</v>
      </c>
    </row>
    <row r="9" spans="1:7">
      <c r="A9" s="30" t="s">
        <v>99</v>
      </c>
      <c r="B9" s="31" t="s">
        <v>406</v>
      </c>
      <c r="C9" s="31" t="s">
        <v>156</v>
      </c>
      <c r="D9" s="31" t="s">
        <v>156</v>
      </c>
      <c r="E9" s="31" t="s">
        <v>91</v>
      </c>
      <c r="F9" s="25" t="s">
        <v>328</v>
      </c>
      <c r="G9" s="31" t="s">
        <v>91</v>
      </c>
    </row>
    <row r="11" spans="1:7">
      <c r="A11" s="156" t="s">
        <v>408</v>
      </c>
      <c r="B11" s="156"/>
      <c r="C11" s="156"/>
      <c r="D11" s="156"/>
      <c r="E11" s="156"/>
      <c r="F11" s="156"/>
      <c r="G11" s="156"/>
    </row>
    <row r="13" spans="1:7" ht="26.25" customHeight="1">
      <c r="A13" s="137" t="s">
        <v>409</v>
      </c>
      <c r="B13" s="137" t="s">
        <v>410</v>
      </c>
      <c r="C13" s="137" t="s">
        <v>411</v>
      </c>
      <c r="D13" s="137"/>
      <c r="E13" s="137" t="s">
        <v>412</v>
      </c>
      <c r="F13" s="137"/>
      <c r="G13" s="137" t="s">
        <v>413</v>
      </c>
    </row>
    <row r="14" spans="1:7">
      <c r="A14" s="137"/>
      <c r="B14" s="137"/>
      <c r="C14" s="23" t="s">
        <v>48</v>
      </c>
      <c r="D14" s="23" t="s">
        <v>49</v>
      </c>
      <c r="E14" s="23" t="s">
        <v>48</v>
      </c>
      <c r="F14" s="23" t="s">
        <v>49</v>
      </c>
      <c r="G14" s="137"/>
    </row>
    <row r="15" spans="1:7">
      <c r="A15" s="23">
        <v>1</v>
      </c>
      <c r="B15" s="23">
        <v>2</v>
      </c>
      <c r="C15" s="23">
        <v>3</v>
      </c>
      <c r="D15" s="23">
        <v>4</v>
      </c>
      <c r="E15" s="23">
        <v>5</v>
      </c>
      <c r="F15" s="23">
        <v>6</v>
      </c>
      <c r="G15" s="23">
        <v>7</v>
      </c>
    </row>
    <row r="16" spans="1:7">
      <c r="A16" s="28" t="s">
        <v>414</v>
      </c>
      <c r="B16" s="23" t="s">
        <v>91</v>
      </c>
      <c r="C16" s="23" t="s">
        <v>91</v>
      </c>
      <c r="D16" s="23" t="s">
        <v>91</v>
      </c>
      <c r="E16" s="23" t="s">
        <v>91</v>
      </c>
      <c r="F16" s="23" t="s">
        <v>91</v>
      </c>
      <c r="G16" s="29" t="s">
        <v>328</v>
      </c>
    </row>
    <row r="17" spans="1:7">
      <c r="A17" s="28" t="s">
        <v>327</v>
      </c>
      <c r="B17" s="23" t="s">
        <v>91</v>
      </c>
      <c r="C17" s="23" t="s">
        <v>91</v>
      </c>
      <c r="D17" s="23" t="s">
        <v>91</v>
      </c>
      <c r="E17" s="23" t="s">
        <v>91</v>
      </c>
      <c r="F17" s="23" t="s">
        <v>91</v>
      </c>
      <c r="G17" s="23" t="s">
        <v>91</v>
      </c>
    </row>
    <row r="18" spans="1:7">
      <c r="A18" s="28" t="s">
        <v>91</v>
      </c>
      <c r="B18" s="23" t="s">
        <v>91</v>
      </c>
      <c r="C18" s="23" t="s">
        <v>91</v>
      </c>
      <c r="D18" s="23" t="s">
        <v>91</v>
      </c>
      <c r="E18" s="23" t="s">
        <v>91</v>
      </c>
      <c r="F18" s="23" t="s">
        <v>91</v>
      </c>
      <c r="G18" s="23" t="s">
        <v>91</v>
      </c>
    </row>
    <row r="19" spans="1:7">
      <c r="A19" s="28" t="s">
        <v>415</v>
      </c>
      <c r="B19" s="23" t="s">
        <v>91</v>
      </c>
      <c r="C19" s="23" t="s">
        <v>91</v>
      </c>
      <c r="D19" s="23" t="s">
        <v>91</v>
      </c>
      <c r="E19" s="23" t="s">
        <v>91</v>
      </c>
      <c r="F19" s="23" t="s">
        <v>91</v>
      </c>
      <c r="G19" s="29" t="s">
        <v>328</v>
      </c>
    </row>
    <row r="20" spans="1:7">
      <c r="A20" s="28" t="s">
        <v>416</v>
      </c>
      <c r="B20" s="23" t="s">
        <v>91</v>
      </c>
      <c r="C20" s="23" t="s">
        <v>91</v>
      </c>
      <c r="D20" s="23" t="s">
        <v>91</v>
      </c>
      <c r="E20" s="23" t="s">
        <v>91</v>
      </c>
      <c r="F20" s="23" t="s">
        <v>91</v>
      </c>
      <c r="G20" s="23" t="s">
        <v>91</v>
      </c>
    </row>
    <row r="21" spans="1:7">
      <c r="A21" s="28" t="s">
        <v>91</v>
      </c>
      <c r="B21" s="23" t="s">
        <v>91</v>
      </c>
      <c r="C21" s="23" t="s">
        <v>91</v>
      </c>
      <c r="D21" s="23" t="s">
        <v>91</v>
      </c>
      <c r="E21" s="23" t="s">
        <v>91</v>
      </c>
      <c r="F21" s="23" t="s">
        <v>91</v>
      </c>
      <c r="G21" s="23" t="s">
        <v>91</v>
      </c>
    </row>
    <row r="22" spans="1:7">
      <c r="A22" s="28" t="s">
        <v>417</v>
      </c>
      <c r="B22" s="23" t="s">
        <v>91</v>
      </c>
      <c r="C22" s="23" t="s">
        <v>91</v>
      </c>
      <c r="D22" s="23" t="s">
        <v>91</v>
      </c>
      <c r="E22" s="23" t="s">
        <v>91</v>
      </c>
      <c r="F22" s="23" t="s">
        <v>91</v>
      </c>
      <c r="G22" s="29" t="s">
        <v>328</v>
      </c>
    </row>
    <row r="23" spans="1:7">
      <c r="A23" s="28" t="s">
        <v>327</v>
      </c>
      <c r="B23" s="23" t="s">
        <v>91</v>
      </c>
      <c r="C23" s="23" t="s">
        <v>91</v>
      </c>
      <c r="D23" s="23" t="s">
        <v>91</v>
      </c>
      <c r="E23" s="23" t="s">
        <v>91</v>
      </c>
      <c r="F23" s="23" t="s">
        <v>91</v>
      </c>
      <c r="G23" s="23" t="s">
        <v>91</v>
      </c>
    </row>
    <row r="24" spans="1:7">
      <c r="A24" s="28" t="s">
        <v>91</v>
      </c>
      <c r="B24" s="23" t="s">
        <v>91</v>
      </c>
      <c r="C24" s="23" t="s">
        <v>91</v>
      </c>
      <c r="D24" s="23" t="s">
        <v>91</v>
      </c>
      <c r="E24" s="23" t="s">
        <v>91</v>
      </c>
      <c r="F24" s="23" t="s">
        <v>91</v>
      </c>
      <c r="G24" s="23" t="s">
        <v>91</v>
      </c>
    </row>
    <row r="25" spans="1:7">
      <c r="A25" s="30" t="s">
        <v>99</v>
      </c>
      <c r="B25" s="25" t="s">
        <v>328</v>
      </c>
      <c r="C25" s="25" t="s">
        <v>328</v>
      </c>
      <c r="D25" s="25" t="s">
        <v>328</v>
      </c>
      <c r="E25" s="25" t="s">
        <v>328</v>
      </c>
      <c r="F25" s="25" t="s">
        <v>328</v>
      </c>
      <c r="G25" s="25" t="s">
        <v>328</v>
      </c>
    </row>
  </sheetData>
  <sheetProtection password="CE28" sheet="1" objects="1" scenarios="1"/>
  <mergeCells count="7">
    <mergeCell ref="A1:G1"/>
    <mergeCell ref="A11:G11"/>
    <mergeCell ref="A13:A14"/>
    <mergeCell ref="B13:B14"/>
    <mergeCell ref="C13:D13"/>
    <mergeCell ref="E13:F13"/>
    <mergeCell ref="G13:G14"/>
  </mergeCells>
  <pageMargins left="0.31496062992125984" right="0.31496062992125984" top="0.94488188976377951" bottom="0.55118110236220474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5</vt:i4>
      </vt:variant>
    </vt:vector>
  </HeadingPairs>
  <TitlesOfParts>
    <vt:vector size="17" baseType="lpstr">
      <vt:lpstr>Лист1</vt:lpstr>
      <vt:lpstr>табл.1</vt:lpstr>
      <vt:lpstr>табл.2</vt:lpstr>
      <vt:lpstr>табл.3</vt:lpstr>
      <vt:lpstr>табл.4</vt:lpstr>
      <vt:lpstr>табл.5</vt:lpstr>
      <vt:lpstr>табл.6</vt:lpstr>
      <vt:lpstr>табл.6 (2)</vt:lpstr>
      <vt:lpstr>табл.6 (3)</vt:lpstr>
      <vt:lpstr>табл.6 (4)</vt:lpstr>
      <vt:lpstr>табл.6 (5)</vt:lpstr>
      <vt:lpstr>табл.6 (6)</vt:lpstr>
      <vt:lpstr>табл.1!Область_печати</vt:lpstr>
      <vt:lpstr>табл.2!Область_печати</vt:lpstr>
      <vt:lpstr>табл.3!Область_печати</vt:lpstr>
      <vt:lpstr>табл.6!Область_печати</vt:lpstr>
      <vt:lpstr>'табл.6 (2)'!Область_печати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2020-03-11T07:19:41Z</dcterms:modified>
</cp:coreProperties>
</file>